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-120" windowWidth="11175" windowHeight="8355" tabRatio="842" activeTab="2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24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  <sheet name="дод 1 до поясн Розрахунок ФОП" sheetId="23" r:id="rId9"/>
    <sheet name="дод2до поясн претенз позов" sheetId="25" r:id="rId10"/>
    <sheet name="дод3 до поясн Відомості про ман" sheetId="2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123Graph_XGRAPH3" localSheetId="9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9">#REF!</definedName>
    <definedName name="BuiltIn_Print_Area___1___1" localSheetId="3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9">#REF!</definedName>
    <definedName name="Cost_Category_National_ID" localSheetId="3">#REF!</definedName>
    <definedName name="Cost_Category_National_ID">#REF!</definedName>
    <definedName name="Cе511" localSheetId="9">#REF!</definedName>
    <definedName name="Cе511" localSheetId="3">#REF!</definedName>
    <definedName name="Cе511">#REF!</definedName>
    <definedName name="d">'[9]МТР Газ України'!$B$4</definedName>
    <definedName name="dCPIb" localSheetId="9">[10]попер_роз!#REF!</definedName>
    <definedName name="dCPIb" localSheetId="3">[10]попер_роз!#REF!</definedName>
    <definedName name="dCPIb">[10]попер_роз!#REF!</definedName>
    <definedName name="dPPIb" localSheetId="9">[10]попер_роз!#REF!</definedName>
    <definedName name="dPPIb" localSheetId="3">[10]попер_роз!#REF!</definedName>
    <definedName name="dPPIb">[10]попер_роз!#REF!</definedName>
    <definedName name="ds" localSheetId="9">'[11]7  Інші витрати'!#REF!</definedName>
    <definedName name="ds" localSheetId="3">'[11]7  Інші витрати'!#REF!</definedName>
    <definedName name="ds">'[11]7  Інші витрати'!#REF!</definedName>
    <definedName name="Fact_Type_ID" localSheetId="9">#REF!</definedName>
    <definedName name="Fact_Type_ID" localSheetId="3">#REF!</definedName>
    <definedName name="Fact_Type_ID">#REF!</definedName>
    <definedName name="G">'[12]МТР Газ України'!$B$1</definedName>
    <definedName name="ij1sssss" localSheetId="9">'[13]7  Інші витрати'!#REF!</definedName>
    <definedName name="ij1sssss" localSheetId="3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9">'[17]7  Інші витрати'!#REF!</definedName>
    <definedName name="Load_ID_10" localSheetId="3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9">[14]!ShowFil</definedName>
    <definedName name="ShowFil">[14]!ShowFil</definedName>
    <definedName name="SU_ID" localSheetId="9">#REF!</definedName>
    <definedName name="SU_ID" localSheetId="3">#REF!</definedName>
    <definedName name="SU_ID">#REF!</definedName>
    <definedName name="Time_ID">'[16]МТР Газ України'!$B$1</definedName>
    <definedName name="Time_ID_10" localSheetId="9">'[17]7  Інші витрати'!#REF!</definedName>
    <definedName name="Time_ID_10" localSheetId="3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9">'[17]7  Інші витрати'!#REF!</definedName>
    <definedName name="Time_ID0_10" localSheetId="3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9">#REF!</definedName>
    <definedName name="ttttttt" localSheetId="3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9">#REF!</definedName>
    <definedName name="yyyy" localSheetId="3">#REF!</definedName>
    <definedName name="yyyy">#REF!</definedName>
    <definedName name="zx">'[4]МТР Газ України'!$F$1</definedName>
    <definedName name="zxc">[5]Inform!$E$38</definedName>
    <definedName name="а" localSheetId="9">'[13]7  Інші витрати'!#REF!</definedName>
    <definedName name="а" localSheetId="3">'[13]7  Інші витрати'!#REF!</definedName>
    <definedName name="а">'[13]7  Інші витрати'!#REF!</definedName>
    <definedName name="ав" localSheetId="9">#REF!</definedName>
    <definedName name="ав" localSheetId="3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9">'[27]БАЗА  '!#REF!</definedName>
    <definedName name="ватт" localSheetId="3">'[27]БАЗА  '!#REF!</definedName>
    <definedName name="ватт">'[27]БАЗА  '!#REF!</definedName>
    <definedName name="Д">'[15]МТР Газ України'!$B$4</definedName>
    <definedName name="е" localSheetId="9">#REF!</definedName>
    <definedName name="е" localSheetId="3">#REF!</definedName>
    <definedName name="е">#REF!</definedName>
    <definedName name="є" localSheetId="9">#REF!</definedName>
    <definedName name="є" localSheetId="3">#REF!</definedName>
    <definedName name="є">#REF!</definedName>
    <definedName name="_xlnm.Print_Titles" localSheetId="5">' V. Коефіцієнти'!$5:$5</definedName>
    <definedName name="_xlnm.Print_Titles" localSheetId="1">'I. Фін результат'!$5:$5</definedName>
    <definedName name="_xlnm.Print_Titles" localSheetId="2">'ІІ. Розр. з бюджетом'!$6:$6</definedName>
    <definedName name="_xlnm.Print_Titles" localSheetId="0">'Осн. фін. пок.'!$44:$44</definedName>
    <definedName name="Заголовки_для_печати_МИ">'[28]1993'!$A$1:$IV$3,'[28]1993'!$A$1:$A$65536</definedName>
    <definedName name="йуц" localSheetId="9">#REF!</definedName>
    <definedName name="йуц" localSheetId="3">#REF!</definedName>
    <definedName name="йуц">#REF!</definedName>
    <definedName name="йцу" localSheetId="9">#REF!</definedName>
    <definedName name="йцу" localSheetId="3">#REF!</definedName>
    <definedName name="йцу">#REF!</definedName>
    <definedName name="йцуйй" localSheetId="9">#REF!</definedName>
    <definedName name="йцуйй" localSheetId="3">#REF!</definedName>
    <definedName name="йцуйй">#REF!</definedName>
    <definedName name="йцукц" localSheetId="9">'[30]7  Інші витрати'!#REF!</definedName>
    <definedName name="йцукц" localSheetId="3">'[30]7  Інші витрати'!#REF!</definedName>
    <definedName name="йцукц">'[30]7  Інші витрати'!#REF!</definedName>
    <definedName name="і">[29]Inform!$F$2</definedName>
    <definedName name="ів" localSheetId="9">#REF!</definedName>
    <definedName name="ів" localSheetId="3">#REF!</definedName>
    <definedName name="ів">#REF!</definedName>
    <definedName name="ів___0" localSheetId="9">#REF!</definedName>
    <definedName name="ів___0" localSheetId="3">#REF!</definedName>
    <definedName name="ів___0">#REF!</definedName>
    <definedName name="ів_22" localSheetId="9">#REF!</definedName>
    <definedName name="ів_22" localSheetId="3">#REF!</definedName>
    <definedName name="ів_22">#REF!</definedName>
    <definedName name="ів_26" localSheetId="9">#REF!</definedName>
    <definedName name="ів_26" localSheetId="3">#REF!</definedName>
    <definedName name="ів_26">#REF!</definedName>
    <definedName name="іваіа" localSheetId="9">'[30]7  Інші витрати'!#REF!</definedName>
    <definedName name="іваіа" localSheetId="3">'[30]7  Інші витрати'!#REF!</definedName>
    <definedName name="іваіа">'[30]7  Інші витрати'!#REF!</definedName>
    <definedName name="іваф" localSheetId="9">#REF!</definedName>
    <definedName name="іваф" localSheetId="3">#REF!</definedName>
    <definedName name="іваф">#REF!</definedName>
    <definedName name="івів">'[12]МТР Газ України'!$B$1</definedName>
    <definedName name="іцу">[23]Inform!$G$2</definedName>
    <definedName name="КЕ" localSheetId="9">#REF!</definedName>
    <definedName name="КЕ" localSheetId="3">#REF!</definedName>
    <definedName name="КЕ">#REF!</definedName>
    <definedName name="КЕ___0" localSheetId="9">#REF!</definedName>
    <definedName name="КЕ___0" localSheetId="3">#REF!</definedName>
    <definedName name="КЕ___0">#REF!</definedName>
    <definedName name="КЕ_22" localSheetId="9">#REF!</definedName>
    <definedName name="КЕ_22" localSheetId="3">#REF!</definedName>
    <definedName name="КЕ_22">#REF!</definedName>
    <definedName name="КЕ_26" localSheetId="9">#REF!</definedName>
    <definedName name="КЕ_26" localSheetId="3">#REF!</definedName>
    <definedName name="КЕ_26">#REF!</definedName>
    <definedName name="кен" localSheetId="9">#REF!</definedName>
    <definedName name="кен" localSheetId="3">#REF!</definedName>
    <definedName name="кен">#REF!</definedName>
    <definedName name="л" localSheetId="9">#REF!</definedName>
    <definedName name="л" localSheetId="3">#REF!</definedName>
    <definedName name="л">#REF!</definedName>
    <definedName name="_xlnm.Print_Area" localSheetId="5">' V. Коефіцієнти'!$A$1:$H$24</definedName>
    <definedName name="_xlnm.Print_Area" localSheetId="6">'6.1. Інша інфо_1'!$A$1:$O$73</definedName>
    <definedName name="_xlnm.Print_Area" localSheetId="7">'6.2. Інша інфо_2'!$A$1:$AE$181</definedName>
    <definedName name="_xlnm.Print_Area" localSheetId="1">'I. Фін результат'!$A$1:$K$196</definedName>
    <definedName name="_xlnm.Print_Area" localSheetId="4">'IV. Кап. інвестиції'!$A$1:$J$64</definedName>
    <definedName name="_xlnm.Print_Area" localSheetId="8">'дод 1 до поясн Розрахунок ФОП'!$A$1:$U$404</definedName>
    <definedName name="_xlnm.Print_Area" localSheetId="2">'ІІ. Розр. з бюджетом'!$A$2:$J$52</definedName>
    <definedName name="_xlnm.Print_Area" localSheetId="3">'ІІІ. Рух грош. коштів'!$A$1:$J$171</definedName>
    <definedName name="_xlnm.Print_Area" localSheetId="0">'Осн. фін. пок.'!$A$1:$F$98</definedName>
    <definedName name="п" localSheetId="9">'[13]7  Інші витрати'!#REF!</definedName>
    <definedName name="п" localSheetId="3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9">#REF!</definedName>
    <definedName name="План" localSheetId="3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9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3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9">#REF!</definedName>
    <definedName name="р" localSheetId="3">#REF!</definedName>
    <definedName name="р">#REF!</definedName>
    <definedName name="т">[32]Inform!$E$6</definedName>
    <definedName name="тариф">[33]Inform!$G$2</definedName>
    <definedName name="уйцукйцуйу" localSheetId="9">#REF!</definedName>
    <definedName name="уйцукйцуйу" localSheetId="3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9">'[30]7  Інші витрати'!#REF!</definedName>
    <definedName name="фіваіф" localSheetId="3">'[30]7  Інші витрати'!#REF!</definedName>
    <definedName name="фіваіф">'[30]7  Інші витрати'!#REF!</definedName>
    <definedName name="фф">'[26]МТР Газ України'!$F$1</definedName>
    <definedName name="ц" localSheetId="9">'[13]7  Інші витрати'!#REF!</definedName>
    <definedName name="ц" localSheetId="3">'[13]7  Інші витрати'!#REF!</definedName>
    <definedName name="ц">'[13]7  Інші витрати'!#REF!</definedName>
    <definedName name="ччч" localSheetId="9">'[35]БАЗА  '!#REF!</definedName>
    <definedName name="ччч" localSheetId="3">'[35]БАЗА  '!#REF!</definedName>
    <definedName name="ччч">'[35]БАЗА  '!#REF!</definedName>
    <definedName name="ш" localSheetId="9">#REF!</definedName>
    <definedName name="ш" localSheetId="3">#REF!</definedName>
    <definedName name="ш">#REF!</definedName>
  </definedNames>
  <calcPr calcId="114210" fullCalcOnLoad="1"/>
</workbook>
</file>

<file path=xl/calcChain.xml><?xml version="1.0" encoding="utf-8"?>
<calcChain xmlns="http://schemas.openxmlformats.org/spreadsheetml/2006/main">
  <c r="K75" i="9"/>
  <c r="K74"/>
  <c r="I22" i="24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J22"/>
  <c r="H22"/>
  <c r="Y452" i="23"/>
  <c r="Y453"/>
  <c r="X452"/>
  <c r="X453"/>
  <c r="V452"/>
  <c r="V453"/>
  <c r="U452"/>
  <c r="AD21" i="9"/>
  <c r="AD20"/>
  <c r="AD19"/>
  <c r="AB21"/>
  <c r="AB20"/>
  <c r="AB19"/>
  <c r="Z20"/>
  <c r="Z21"/>
  <c r="Z19"/>
  <c r="J11" i="3"/>
  <c r="I11"/>
  <c r="AC125" i="9"/>
  <c r="AA125"/>
  <c r="Y125"/>
  <c r="T145"/>
  <c r="T144"/>
  <c r="AC77"/>
  <c r="AA77"/>
  <c r="Y77"/>
  <c r="T96"/>
  <c r="T97"/>
  <c r="J33" i="3"/>
  <c r="I33"/>
  <c r="G33"/>
  <c r="H33"/>
  <c r="F40"/>
  <c r="F41"/>
  <c r="F42"/>
  <c r="F43"/>
  <c r="H11"/>
  <c r="F29"/>
  <c r="V416" i="23"/>
  <c r="W416"/>
  <c r="X416"/>
  <c r="Y416"/>
  <c r="V417"/>
  <c r="W417"/>
  <c r="X417"/>
  <c r="Y417"/>
  <c r="H116" i="2"/>
  <c r="V418" i="23"/>
  <c r="W418"/>
  <c r="V419"/>
  <c r="W419"/>
  <c r="V420"/>
  <c r="W420"/>
  <c r="X420"/>
  <c r="Y420"/>
  <c r="U417"/>
  <c r="U420"/>
  <c r="U416"/>
  <c r="J119" i="24"/>
  <c r="I119"/>
  <c r="H119"/>
  <c r="F128"/>
  <c r="F129"/>
  <c r="F130"/>
  <c r="F131"/>
  <c r="F132"/>
  <c r="F133"/>
  <c r="F134"/>
  <c r="F135"/>
  <c r="F136"/>
  <c r="F137"/>
  <c r="F138"/>
  <c r="F139"/>
  <c r="F140"/>
  <c r="H93" i="2"/>
  <c r="Z451" i="23"/>
  <c r="Z450"/>
  <c r="Y419"/>
  <c r="J116" i="2"/>
  <c r="X419" i="23"/>
  <c r="J93" i="2"/>
  <c r="U453" i="23"/>
  <c r="U419"/>
  <c r="J18" i="2"/>
  <c r="U454" i="23"/>
  <c r="Y418"/>
  <c r="I116" i="2"/>
  <c r="X418" i="23"/>
  <c r="I93" i="2"/>
  <c r="Z452" i="23"/>
  <c r="Z453"/>
  <c r="U418"/>
  <c r="J47" i="10"/>
  <c r="G47"/>
  <c r="G48"/>
  <c r="G45"/>
  <c r="G44"/>
  <c r="J44"/>
  <c r="H47"/>
  <c r="Q14" i="23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13"/>
  <c r="I290"/>
  <c r="I289"/>
  <c r="I288"/>
  <c r="O244"/>
  <c r="O243"/>
  <c r="O242"/>
  <c r="O147"/>
  <c r="O146"/>
  <c r="O145"/>
  <c r="O325"/>
  <c r="O324"/>
  <c r="O365"/>
  <c r="O364"/>
  <c r="O363"/>
  <c r="O362"/>
  <c r="O361"/>
  <c r="O300"/>
  <c r="O299"/>
  <c r="O298"/>
  <c r="O394"/>
  <c r="O393"/>
  <c r="L394"/>
  <c r="L393"/>
  <c r="E394"/>
  <c r="E393"/>
  <c r="O313"/>
  <c r="O139"/>
  <c r="O301"/>
  <c r="O246"/>
  <c r="O70"/>
  <c r="O390"/>
  <c r="O391"/>
  <c r="O392"/>
  <c r="O389"/>
  <c r="O388"/>
  <c r="O382"/>
  <c r="O383"/>
  <c r="O384"/>
  <c r="O385"/>
  <c r="O386"/>
  <c r="O387"/>
  <c r="O381"/>
  <c r="O380"/>
  <c r="O315"/>
  <c r="O316"/>
  <c r="O317"/>
  <c r="O318"/>
  <c r="O319"/>
  <c r="O320"/>
  <c r="O321"/>
  <c r="O322"/>
  <c r="O323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6"/>
  <c r="O367"/>
  <c r="O368"/>
  <c r="O369"/>
  <c r="O370"/>
  <c r="O371"/>
  <c r="O372"/>
  <c r="O373"/>
  <c r="O374"/>
  <c r="O375"/>
  <c r="O376"/>
  <c r="O377"/>
  <c r="O378"/>
  <c r="O379"/>
  <c r="O314"/>
  <c r="O309"/>
  <c r="O310"/>
  <c r="O311"/>
  <c r="O312"/>
  <c r="O308"/>
  <c r="O306"/>
  <c r="O307"/>
  <c r="O305"/>
  <c r="O303"/>
  <c r="O304"/>
  <c r="O302"/>
  <c r="O297"/>
  <c r="O296"/>
  <c r="O295"/>
  <c r="O289"/>
  <c r="O290"/>
  <c r="O291"/>
  <c r="O292"/>
  <c r="O293"/>
  <c r="O294"/>
  <c r="O281"/>
  <c r="O282"/>
  <c r="O283"/>
  <c r="O284"/>
  <c r="O285"/>
  <c r="O286"/>
  <c r="O287"/>
  <c r="O288"/>
  <c r="O280"/>
  <c r="O279"/>
  <c r="O278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14"/>
  <c r="O277"/>
  <c r="O276"/>
  <c r="O271"/>
  <c r="O269"/>
  <c r="O270"/>
  <c r="O268"/>
  <c r="O267"/>
  <c r="O266"/>
  <c r="O265"/>
  <c r="O264"/>
  <c r="O263"/>
  <c r="O262"/>
  <c r="O261"/>
  <c r="O258"/>
  <c r="O257"/>
  <c r="O256"/>
  <c r="O255"/>
  <c r="O249"/>
  <c r="O235"/>
  <c r="O197"/>
  <c r="O173"/>
  <c r="O138"/>
  <c r="O137"/>
  <c r="O136"/>
  <c r="O135"/>
  <c r="O134"/>
  <c r="O133"/>
  <c r="O132"/>
  <c r="O131"/>
  <c r="O130"/>
  <c r="O129"/>
  <c r="O128"/>
  <c r="O125"/>
  <c r="O124"/>
  <c r="O123"/>
  <c r="O122"/>
  <c r="O121"/>
  <c r="O120"/>
  <c r="O119"/>
  <c r="O78"/>
  <c r="O84"/>
  <c r="O85"/>
  <c r="O86"/>
  <c r="O87"/>
  <c r="O91"/>
  <c r="O103"/>
  <c r="O104"/>
  <c r="O105"/>
  <c r="O108"/>
  <c r="O118"/>
  <c r="O74"/>
  <c r="O71"/>
  <c r="O68"/>
  <c r="O66"/>
  <c r="O65"/>
  <c r="O62"/>
  <c r="O63"/>
  <c r="O64"/>
  <c r="O60"/>
  <c r="O61"/>
  <c r="O57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14"/>
  <c r="G11" i="3"/>
  <c r="F28"/>
  <c r="T143" i="9"/>
  <c r="T95"/>
  <c r="G22" i="24"/>
  <c r="F127"/>
  <c r="W93" i="9"/>
  <c r="W77"/>
  <c r="W74"/>
  <c r="G133" i="24"/>
  <c r="G119"/>
  <c r="I122" i="2"/>
  <c r="H122"/>
  <c r="J122"/>
  <c r="AC75" i="9"/>
  <c r="AC123"/>
  <c r="AC122"/>
  <c r="AC74"/>
  <c r="G100" i="2"/>
  <c r="E22" i="24"/>
  <c r="H44" i="10"/>
  <c r="J159" i="2"/>
  <c r="I44" i="9"/>
  <c r="J44"/>
  <c r="K44"/>
  <c r="H44"/>
  <c r="K45"/>
  <c r="J45"/>
  <c r="I45"/>
  <c r="H45"/>
  <c r="H20" i="19"/>
  <c r="I20"/>
  <c r="J20"/>
  <c r="G20"/>
  <c r="E20"/>
  <c r="E26" i="2"/>
  <c r="E22"/>
  <c r="E14"/>
  <c r="F12" i="11"/>
  <c r="C16" i="19"/>
  <c r="E8"/>
  <c r="E53"/>
  <c r="E184" i="2"/>
  <c r="E42" i="19"/>
  <c r="E183" i="2"/>
  <c r="E33" i="19"/>
  <c r="E28"/>
  <c r="E65" i="24"/>
  <c r="E73"/>
  <c r="E69"/>
  <c r="E68"/>
  <c r="E67"/>
  <c r="E66"/>
  <c r="E63"/>
  <c r="E61"/>
  <c r="E60"/>
  <c r="E62"/>
  <c r="E59"/>
  <c r="E58"/>
  <c r="D57"/>
  <c r="F54" i="3"/>
  <c r="F24"/>
  <c r="F25"/>
  <c r="F26"/>
  <c r="F27"/>
  <c r="E11"/>
  <c r="E57" i="24"/>
  <c r="E90"/>
  <c r="E53"/>
  <c r="E51"/>
  <c r="H159" i="2"/>
  <c r="E13" i="23"/>
  <c r="Q124" i="9"/>
  <c r="Q166"/>
  <c r="Q165"/>
  <c r="Q142"/>
  <c r="Q117"/>
  <c r="Q93"/>
  <c r="Q141"/>
  <c r="Q125"/>
  <c r="E15" i="2"/>
  <c r="E181"/>
  <c r="E9"/>
  <c r="E10"/>
  <c r="E13"/>
  <c r="J25"/>
  <c r="I25"/>
  <c r="H25"/>
  <c r="G25"/>
  <c r="G24"/>
  <c r="E182"/>
  <c r="E185"/>
  <c r="T413" i="23"/>
  <c r="S413"/>
  <c r="R413"/>
  <c r="P413"/>
  <c r="M413"/>
  <c r="J413"/>
  <c r="H413"/>
  <c r="G413"/>
  <c r="D413"/>
  <c r="C413"/>
  <c r="D412"/>
  <c r="G412"/>
  <c r="H412"/>
  <c r="J412"/>
  <c r="M412"/>
  <c r="P412"/>
  <c r="R412"/>
  <c r="S412"/>
  <c r="T412"/>
  <c r="C412"/>
  <c r="R273"/>
  <c r="R274"/>
  <c r="L273"/>
  <c r="L274"/>
  <c r="L275"/>
  <c r="I274"/>
  <c r="I273"/>
  <c r="A273"/>
  <c r="A274"/>
  <c r="A275"/>
  <c r="A276"/>
  <c r="Q77" i="9"/>
  <c r="F274" i="23"/>
  <c r="U274"/>
  <c r="O274"/>
  <c r="N274"/>
  <c r="F273"/>
  <c r="U273"/>
  <c r="O273"/>
  <c r="N273"/>
  <c r="Q412"/>
  <c r="E180" i="2"/>
  <c r="E12"/>
  <c r="E122"/>
  <c r="E121"/>
  <c r="E94"/>
  <c r="E63"/>
  <c r="E19"/>
  <c r="E413" i="23"/>
  <c r="C434"/>
  <c r="C411"/>
  <c r="R54"/>
  <c r="K260"/>
  <c r="E412"/>
  <c r="K272"/>
  <c r="L54"/>
  <c r="F54"/>
  <c r="U54"/>
  <c r="N54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1"/>
  <c r="L270"/>
  <c r="L269"/>
  <c r="L268"/>
  <c r="L267"/>
  <c r="L266"/>
  <c r="L265"/>
  <c r="L264"/>
  <c r="L263"/>
  <c r="L262"/>
  <c r="L261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3"/>
  <c r="L232"/>
  <c r="L230"/>
  <c r="L229"/>
  <c r="L228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7"/>
  <c r="L195"/>
  <c r="L194"/>
  <c r="L193"/>
  <c r="L192"/>
  <c r="L191"/>
  <c r="L188"/>
  <c r="L186"/>
  <c r="L185"/>
  <c r="L184"/>
  <c r="L183"/>
  <c r="L182"/>
  <c r="L181"/>
  <c r="L180"/>
  <c r="L179"/>
  <c r="L178"/>
  <c r="L177"/>
  <c r="L175"/>
  <c r="L174"/>
  <c r="L173"/>
  <c r="L172"/>
  <c r="L171"/>
  <c r="L170"/>
  <c r="L169"/>
  <c r="L167"/>
  <c r="L166"/>
  <c r="L165"/>
  <c r="L164"/>
  <c r="L163"/>
  <c r="L161"/>
  <c r="L159"/>
  <c r="L157"/>
  <c r="L156"/>
  <c r="L155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14"/>
  <c r="L413"/>
  <c r="L13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154"/>
  <c r="L158"/>
  <c r="L160"/>
  <c r="L162"/>
  <c r="L168"/>
  <c r="L176"/>
  <c r="L187"/>
  <c r="L189"/>
  <c r="L190"/>
  <c r="L196"/>
  <c r="L198"/>
  <c r="L227"/>
  <c r="L231"/>
  <c r="L234"/>
  <c r="L235"/>
  <c r="L259"/>
  <c r="L260"/>
  <c r="L272"/>
  <c r="L412"/>
  <c r="N124" i="9"/>
  <c r="N147"/>
  <c r="N166"/>
  <c r="N165"/>
  <c r="N167"/>
  <c r="N141"/>
  <c r="N142"/>
  <c r="N125"/>
  <c r="N117"/>
  <c r="N99"/>
  <c r="N77"/>
  <c r="E7" i="3"/>
  <c r="D7"/>
  <c r="D141" i="24"/>
  <c r="E119"/>
  <c r="D119"/>
  <c r="D95"/>
  <c r="D90"/>
  <c r="D53"/>
  <c r="D51"/>
  <c r="F22"/>
  <c r="K147" i="9"/>
  <c r="K140"/>
  <c r="K125"/>
  <c r="K99"/>
  <c r="K77"/>
  <c r="K92"/>
  <c r="F26" i="10"/>
  <c r="F25"/>
  <c r="D21"/>
  <c r="D19"/>
  <c r="D14"/>
  <c r="D12" i="11"/>
  <c r="C52" i="3"/>
  <c r="C50"/>
  <c r="C49"/>
  <c r="C48"/>
  <c r="C46"/>
  <c r="C39"/>
  <c r="C32"/>
  <c r="C23"/>
  <c r="C21"/>
  <c r="C19"/>
  <c r="C18"/>
  <c r="C17"/>
  <c r="C16"/>
  <c r="C14"/>
  <c r="C12"/>
  <c r="C119" i="24"/>
  <c r="C90"/>
  <c r="C104"/>
  <c r="C102"/>
  <c r="C95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58"/>
  <c r="C22"/>
  <c r="C33" i="19"/>
  <c r="C28"/>
  <c r="C182" i="2"/>
  <c r="C181"/>
  <c r="C152"/>
  <c r="C149"/>
  <c r="C148"/>
  <c r="C144"/>
  <c r="C140"/>
  <c r="C138"/>
  <c r="C136"/>
  <c r="C135"/>
  <c r="C134"/>
  <c r="C133"/>
  <c r="C132"/>
  <c r="C130"/>
  <c r="C129"/>
  <c r="C128"/>
  <c r="C127"/>
  <c r="C126"/>
  <c r="C125"/>
  <c r="C124"/>
  <c r="C123"/>
  <c r="C120"/>
  <c r="C119"/>
  <c r="C118"/>
  <c r="C117"/>
  <c r="C116"/>
  <c r="C107"/>
  <c r="C106"/>
  <c r="C103"/>
  <c r="C102"/>
  <c r="C87"/>
  <c r="C81"/>
  <c r="C80"/>
  <c r="C85"/>
  <c r="C77"/>
  <c r="C69"/>
  <c r="C64"/>
  <c r="C63"/>
  <c r="C62"/>
  <c r="C55"/>
  <c r="C44"/>
  <c r="C53"/>
  <c r="C52"/>
  <c r="C51"/>
  <c r="C49"/>
  <c r="C48"/>
  <c r="C46"/>
  <c r="C45"/>
  <c r="C22"/>
  <c r="C39"/>
  <c r="C36"/>
  <c r="C34"/>
  <c r="C33"/>
  <c r="C32"/>
  <c r="C30"/>
  <c r="C27"/>
  <c r="C26"/>
  <c r="C24"/>
  <c r="C21"/>
  <c r="C20"/>
  <c r="C15"/>
  <c r="C19"/>
  <c r="C18"/>
  <c r="C17"/>
  <c r="C16"/>
  <c r="C57" i="24"/>
  <c r="T167" i="9"/>
  <c r="T166"/>
  <c r="T119"/>
  <c r="T118"/>
  <c r="T124"/>
  <c r="T76"/>
  <c r="H90" i="24"/>
  <c r="I90"/>
  <c r="J90"/>
  <c r="G90"/>
  <c r="F94"/>
  <c r="F91"/>
  <c r="F92"/>
  <c r="F93"/>
  <c r="F52"/>
  <c r="F54"/>
  <c r="F55"/>
  <c r="H53"/>
  <c r="H51"/>
  <c r="I53"/>
  <c r="J53"/>
  <c r="J51"/>
  <c r="G53"/>
  <c r="G51"/>
  <c r="F10" i="3"/>
  <c r="J7"/>
  <c r="I7"/>
  <c r="H7"/>
  <c r="G7"/>
  <c r="F18" i="24"/>
  <c r="F150" i="2"/>
  <c r="F50"/>
  <c r="T117" i="9"/>
  <c r="F53" i="24"/>
  <c r="I51"/>
  <c r="F7" i="3"/>
  <c r="E115" i="2"/>
  <c r="D115"/>
  <c r="J137"/>
  <c r="I137"/>
  <c r="H137"/>
  <c r="G137"/>
  <c r="E137"/>
  <c r="C137"/>
  <c r="C115"/>
  <c r="Q413" i="23"/>
  <c r="Q395"/>
  <c r="H29" i="10"/>
  <c r="H28"/>
  <c r="F30"/>
  <c r="F29"/>
  <c r="F28"/>
  <c r="D28"/>
  <c r="G59" i="24"/>
  <c r="H59"/>
  <c r="I59"/>
  <c r="J59"/>
  <c r="G60"/>
  <c r="H60"/>
  <c r="I60"/>
  <c r="J60"/>
  <c r="G61"/>
  <c r="H61"/>
  <c r="I61"/>
  <c r="J61"/>
  <c r="G62"/>
  <c r="H62"/>
  <c r="I62"/>
  <c r="J62"/>
  <c r="G63"/>
  <c r="H63"/>
  <c r="I63"/>
  <c r="J63"/>
  <c r="G64"/>
  <c r="H64"/>
  <c r="I64"/>
  <c r="J64"/>
  <c r="G65"/>
  <c r="H65"/>
  <c r="I65"/>
  <c r="J65"/>
  <c r="G66"/>
  <c r="H66"/>
  <c r="I66"/>
  <c r="J66"/>
  <c r="G67"/>
  <c r="H67"/>
  <c r="I67"/>
  <c r="J67"/>
  <c r="G68"/>
  <c r="H68"/>
  <c r="I68"/>
  <c r="J68"/>
  <c r="G69"/>
  <c r="H69"/>
  <c r="I69"/>
  <c r="J69"/>
  <c r="H58"/>
  <c r="I58"/>
  <c r="J58"/>
  <c r="G58"/>
  <c r="E144"/>
  <c r="W142" i="9"/>
  <c r="T142"/>
  <c r="W141"/>
  <c r="T94"/>
  <c r="T93"/>
  <c r="W66"/>
  <c r="AC66"/>
  <c r="AA66"/>
  <c r="Y66"/>
  <c r="T67"/>
  <c r="T66"/>
  <c r="AC69"/>
  <c r="AC68"/>
  <c r="AA69"/>
  <c r="AA68"/>
  <c r="Y69"/>
  <c r="Y68"/>
  <c r="T141"/>
  <c r="T125"/>
  <c r="W125"/>
  <c r="W122"/>
  <c r="T77"/>
  <c r="F60" i="24"/>
  <c r="F68"/>
  <c r="F67"/>
  <c r="J57"/>
  <c r="F66"/>
  <c r="F64"/>
  <c r="F63"/>
  <c r="F62"/>
  <c r="F61"/>
  <c r="F69"/>
  <c r="G57"/>
  <c r="F65"/>
  <c r="F59"/>
  <c r="I57"/>
  <c r="H57"/>
  <c r="F58"/>
  <c r="T69" i="9"/>
  <c r="T68"/>
  <c r="N67"/>
  <c r="N66"/>
  <c r="K67"/>
  <c r="K66"/>
  <c r="N69"/>
  <c r="N68"/>
  <c r="K69"/>
  <c r="K68"/>
  <c r="N75"/>
  <c r="N74"/>
  <c r="E18" i="19"/>
  <c r="N21" i="2"/>
  <c r="N185"/>
  <c r="F119" i="24"/>
  <c r="V43" i="9"/>
  <c r="V44"/>
  <c r="G79" i="23"/>
  <c r="G95"/>
  <c r="G127"/>
  <c r="O127"/>
  <c r="K159"/>
  <c r="G187"/>
  <c r="G195"/>
  <c r="K239"/>
  <c r="G251"/>
  <c r="O251"/>
  <c r="K281"/>
  <c r="G301"/>
  <c r="K282"/>
  <c r="K270"/>
  <c r="K265"/>
  <c r="K81"/>
  <c r="K161"/>
  <c r="K168"/>
  <c r="K180"/>
  <c r="K174"/>
  <c r="K193"/>
  <c r="K232"/>
  <c r="K383"/>
  <c r="K300"/>
  <c r="G392"/>
  <c r="G390"/>
  <c r="G316"/>
  <c r="G254"/>
  <c r="G253"/>
  <c r="G230"/>
  <c r="G225"/>
  <c r="G224"/>
  <c r="G200"/>
  <c r="G196"/>
  <c r="G191"/>
  <c r="G190"/>
  <c r="G186"/>
  <c r="G176"/>
  <c r="G169"/>
  <c r="G168"/>
  <c r="G165"/>
  <c r="G164"/>
  <c r="G161"/>
  <c r="G160"/>
  <c r="G158"/>
  <c r="G157"/>
  <c r="G154"/>
  <c r="G107"/>
  <c r="O107"/>
  <c r="G106"/>
  <c r="G97"/>
  <c r="G93"/>
  <c r="G92"/>
  <c r="G90"/>
  <c r="G89"/>
  <c r="G88"/>
  <c r="G77"/>
  <c r="G76"/>
  <c r="G75"/>
  <c r="G73"/>
  <c r="O73"/>
  <c r="G69"/>
  <c r="O69"/>
  <c r="K412"/>
  <c r="G159"/>
  <c r="M50"/>
  <c r="L18" i="2"/>
  <c r="L93"/>
  <c r="F393" i="23"/>
  <c r="F394"/>
  <c r="I114"/>
  <c r="I115"/>
  <c r="K115"/>
  <c r="I116"/>
  <c r="K116"/>
  <c r="I117"/>
  <c r="O117"/>
  <c r="K117"/>
  <c r="F118"/>
  <c r="I220"/>
  <c r="O220"/>
  <c r="I221"/>
  <c r="O221"/>
  <c r="I222"/>
  <c r="I223"/>
  <c r="O223"/>
  <c r="I224"/>
  <c r="O224"/>
  <c r="I225"/>
  <c r="O225"/>
  <c r="I226"/>
  <c r="I227"/>
  <c r="O227"/>
  <c r="I228"/>
  <c r="O228"/>
  <c r="I229"/>
  <c r="O229"/>
  <c r="K229"/>
  <c r="I230"/>
  <c r="I231"/>
  <c r="O231"/>
  <c r="I232"/>
  <c r="I233"/>
  <c r="I234"/>
  <c r="O234"/>
  <c r="F235"/>
  <c r="F136"/>
  <c r="F137"/>
  <c r="M138"/>
  <c r="I139"/>
  <c r="I140"/>
  <c r="K140"/>
  <c r="I141"/>
  <c r="K141"/>
  <c r="I142"/>
  <c r="O142"/>
  <c r="K142"/>
  <c r="I143"/>
  <c r="O143"/>
  <c r="I144"/>
  <c r="O144"/>
  <c r="F145"/>
  <c r="F146"/>
  <c r="F147"/>
  <c r="I148"/>
  <c r="O148"/>
  <c r="I149"/>
  <c r="K149"/>
  <c r="I150"/>
  <c r="O150"/>
  <c r="I151"/>
  <c r="O151"/>
  <c r="I152"/>
  <c r="O152"/>
  <c r="I153"/>
  <c r="I154"/>
  <c r="O154"/>
  <c r="I155"/>
  <c r="O155"/>
  <c r="I156"/>
  <c r="O156"/>
  <c r="I157"/>
  <c r="I158"/>
  <c r="O158"/>
  <c r="I159"/>
  <c r="I160"/>
  <c r="O160"/>
  <c r="I161"/>
  <c r="O161"/>
  <c r="I162"/>
  <c r="I163"/>
  <c r="I164"/>
  <c r="O164"/>
  <c r="I165"/>
  <c r="O165"/>
  <c r="K165"/>
  <c r="I166"/>
  <c r="O166"/>
  <c r="I167"/>
  <c r="O167"/>
  <c r="I168"/>
  <c r="O168"/>
  <c r="I169"/>
  <c r="O169"/>
  <c r="I170"/>
  <c r="O170"/>
  <c r="I171"/>
  <c r="O171"/>
  <c r="I172"/>
  <c r="F173"/>
  <c r="I174"/>
  <c r="I175"/>
  <c r="O175"/>
  <c r="I176"/>
  <c r="O176"/>
  <c r="I177"/>
  <c r="O177"/>
  <c r="I178"/>
  <c r="I179"/>
  <c r="I180"/>
  <c r="I181"/>
  <c r="O181"/>
  <c r="I182"/>
  <c r="O182"/>
  <c r="I183"/>
  <c r="O183"/>
  <c r="I184"/>
  <c r="O184"/>
  <c r="I185"/>
  <c r="O185"/>
  <c r="I186"/>
  <c r="O186"/>
  <c r="I187"/>
  <c r="O187"/>
  <c r="I188"/>
  <c r="O188"/>
  <c r="I189"/>
  <c r="O189"/>
  <c r="I190"/>
  <c r="O190"/>
  <c r="I191"/>
  <c r="O191"/>
  <c r="I192"/>
  <c r="O192"/>
  <c r="I193"/>
  <c r="I194"/>
  <c r="I195"/>
  <c r="O195"/>
  <c r="I196"/>
  <c r="O196"/>
  <c r="K196"/>
  <c r="F197"/>
  <c r="I198"/>
  <c r="O198"/>
  <c r="I199"/>
  <c r="O199"/>
  <c r="I200"/>
  <c r="K200"/>
  <c r="F65"/>
  <c r="F66"/>
  <c r="I67"/>
  <c r="O67"/>
  <c r="F68"/>
  <c r="F69"/>
  <c r="I70"/>
  <c r="F71"/>
  <c r="I72"/>
  <c r="O72"/>
  <c r="K73"/>
  <c r="F74"/>
  <c r="I75"/>
  <c r="O75"/>
  <c r="I76"/>
  <c r="O76"/>
  <c r="K76"/>
  <c r="K77"/>
  <c r="O77"/>
  <c r="F78"/>
  <c r="I79"/>
  <c r="K79"/>
  <c r="I80"/>
  <c r="I81"/>
  <c r="I82"/>
  <c r="K82"/>
  <c r="I83"/>
  <c r="O83"/>
  <c r="F84"/>
  <c r="F85"/>
  <c r="F86"/>
  <c r="F87"/>
  <c r="I88"/>
  <c r="O88"/>
  <c r="K88"/>
  <c r="I89"/>
  <c r="O89"/>
  <c r="I90"/>
  <c r="O90"/>
  <c r="F91"/>
  <c r="I92"/>
  <c r="O92"/>
  <c r="I93"/>
  <c r="O93"/>
  <c r="I94"/>
  <c r="O94"/>
  <c r="I95"/>
  <c r="O95"/>
  <c r="I96"/>
  <c r="O96"/>
  <c r="I97"/>
  <c r="O97"/>
  <c r="I98"/>
  <c r="O98"/>
  <c r="I99"/>
  <c r="O99"/>
  <c r="I100"/>
  <c r="K100"/>
  <c r="I101"/>
  <c r="O101"/>
  <c r="I102"/>
  <c r="F103"/>
  <c r="F104"/>
  <c r="F105"/>
  <c r="I106"/>
  <c r="O106"/>
  <c r="K106"/>
  <c r="F108"/>
  <c r="I109"/>
  <c r="O109"/>
  <c r="I110"/>
  <c r="O110"/>
  <c r="I111"/>
  <c r="O111"/>
  <c r="I112"/>
  <c r="O112"/>
  <c r="I113"/>
  <c r="O113"/>
  <c r="I236"/>
  <c r="O236"/>
  <c r="I237"/>
  <c r="O237"/>
  <c r="I238"/>
  <c r="O238"/>
  <c r="I239"/>
  <c r="I240"/>
  <c r="I241"/>
  <c r="F242"/>
  <c r="F243"/>
  <c r="F244"/>
  <c r="M14"/>
  <c r="E16" i="24"/>
  <c r="Q75" i="9"/>
  <c r="Q74"/>
  <c r="G13" i="24"/>
  <c r="G14"/>
  <c r="G15"/>
  <c r="G16"/>
  <c r="G19"/>
  <c r="G20"/>
  <c r="G26"/>
  <c r="G28"/>
  <c r="G30"/>
  <c r="G31"/>
  <c r="G36"/>
  <c r="G142"/>
  <c r="G141"/>
  <c r="H13"/>
  <c r="H14"/>
  <c r="H15"/>
  <c r="H19"/>
  <c r="H20"/>
  <c r="H26"/>
  <c r="H28"/>
  <c r="H30"/>
  <c r="H31"/>
  <c r="H36"/>
  <c r="H142"/>
  <c r="H141"/>
  <c r="I13"/>
  <c r="I14"/>
  <c r="I15"/>
  <c r="I19"/>
  <c r="I20"/>
  <c r="I26"/>
  <c r="I28"/>
  <c r="I30"/>
  <c r="I31"/>
  <c r="I36"/>
  <c r="I142"/>
  <c r="I141"/>
  <c r="J13"/>
  <c r="J14"/>
  <c r="J15"/>
  <c r="J19"/>
  <c r="J20"/>
  <c r="J26"/>
  <c r="J28"/>
  <c r="J30"/>
  <c r="J31"/>
  <c r="J36"/>
  <c r="J142"/>
  <c r="J141"/>
  <c r="D67" i="14"/>
  <c r="E67"/>
  <c r="C67"/>
  <c r="E12" i="24"/>
  <c r="C51"/>
  <c r="D48"/>
  <c r="D41"/>
  <c r="I118"/>
  <c r="H118"/>
  <c r="G118"/>
  <c r="E118"/>
  <c r="C118"/>
  <c r="D118"/>
  <c r="D101"/>
  <c r="D98"/>
  <c r="D56"/>
  <c r="D25"/>
  <c r="D32"/>
  <c r="F155"/>
  <c r="F153"/>
  <c r="F152"/>
  <c r="F151"/>
  <c r="F150"/>
  <c r="F148"/>
  <c r="F147"/>
  <c r="F146"/>
  <c r="F144"/>
  <c r="F126"/>
  <c r="F125"/>
  <c r="F124"/>
  <c r="F123"/>
  <c r="F122"/>
  <c r="F121"/>
  <c r="F120"/>
  <c r="F117"/>
  <c r="F116"/>
  <c r="F115"/>
  <c r="F113"/>
  <c r="F112"/>
  <c r="F111"/>
  <c r="F109"/>
  <c r="F105"/>
  <c r="F104"/>
  <c r="F103"/>
  <c r="F100"/>
  <c r="F97"/>
  <c r="F90"/>
  <c r="F50"/>
  <c r="F47"/>
  <c r="F46"/>
  <c r="F45"/>
  <c r="F44"/>
  <c r="F43"/>
  <c r="F42"/>
  <c r="F38"/>
  <c r="F37"/>
  <c r="F35"/>
  <c r="F34"/>
  <c r="F24"/>
  <c r="F8"/>
  <c r="F9"/>
  <c r="F10"/>
  <c r="F17"/>
  <c r="D11"/>
  <c r="C141"/>
  <c r="C101"/>
  <c r="C48"/>
  <c r="C11"/>
  <c r="C6"/>
  <c r="C32"/>
  <c r="C25"/>
  <c r="C21"/>
  <c r="J149"/>
  <c r="I149"/>
  <c r="H149"/>
  <c r="G149"/>
  <c r="E149"/>
  <c r="D149"/>
  <c r="C149"/>
  <c r="J145"/>
  <c r="I145"/>
  <c r="H145"/>
  <c r="H143"/>
  <c r="G145"/>
  <c r="E145"/>
  <c r="D145"/>
  <c r="C145"/>
  <c r="J114"/>
  <c r="I114"/>
  <c r="H114"/>
  <c r="G114"/>
  <c r="E114"/>
  <c r="D114"/>
  <c r="C114"/>
  <c r="J110"/>
  <c r="I110"/>
  <c r="H110"/>
  <c r="G110"/>
  <c r="E110"/>
  <c r="D110"/>
  <c r="C110"/>
  <c r="J48"/>
  <c r="J41"/>
  <c r="I48"/>
  <c r="I41"/>
  <c r="H48"/>
  <c r="H41"/>
  <c r="E48"/>
  <c r="E41"/>
  <c r="C41"/>
  <c r="D6"/>
  <c r="D99" i="2"/>
  <c r="D92"/>
  <c r="F98"/>
  <c r="F97"/>
  <c r="F96"/>
  <c r="F95"/>
  <c r="G143" i="24"/>
  <c r="M13" i="23"/>
  <c r="M430"/>
  <c r="F388"/>
  <c r="F380"/>
  <c r="N380"/>
  <c r="F308"/>
  <c r="F309"/>
  <c r="F310"/>
  <c r="F311"/>
  <c r="F312"/>
  <c r="F313"/>
  <c r="F295"/>
  <c r="F296"/>
  <c r="F297"/>
  <c r="F276"/>
  <c r="F277"/>
  <c r="F261"/>
  <c r="F262"/>
  <c r="F263"/>
  <c r="F255"/>
  <c r="F256"/>
  <c r="F257"/>
  <c r="F258"/>
  <c r="F249"/>
  <c r="I250"/>
  <c r="O250"/>
  <c r="I214"/>
  <c r="O214"/>
  <c r="I210"/>
  <c r="I201"/>
  <c r="O201"/>
  <c r="I202"/>
  <c r="O202"/>
  <c r="I203"/>
  <c r="O203"/>
  <c r="F135"/>
  <c r="F129"/>
  <c r="F130"/>
  <c r="F122"/>
  <c r="F123"/>
  <c r="F124"/>
  <c r="F119"/>
  <c r="F120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N39"/>
  <c r="F40"/>
  <c r="F41"/>
  <c r="F42"/>
  <c r="F43"/>
  <c r="N43"/>
  <c r="F44"/>
  <c r="F45"/>
  <c r="F46"/>
  <c r="F47"/>
  <c r="F48"/>
  <c r="F49"/>
  <c r="F50"/>
  <c r="F51"/>
  <c r="N51"/>
  <c r="F52"/>
  <c r="F53"/>
  <c r="F55"/>
  <c r="F56"/>
  <c r="N56"/>
  <c r="F57"/>
  <c r="N57"/>
  <c r="F302"/>
  <c r="F303"/>
  <c r="N303"/>
  <c r="F304"/>
  <c r="F266"/>
  <c r="N266"/>
  <c r="F267"/>
  <c r="N267"/>
  <c r="F268"/>
  <c r="N268"/>
  <c r="F245"/>
  <c r="O245"/>
  <c r="F246"/>
  <c r="N246"/>
  <c r="N13" i="10"/>
  <c r="F11"/>
  <c r="D11"/>
  <c r="F34" i="19"/>
  <c r="F35"/>
  <c r="F38"/>
  <c r="H181" i="2"/>
  <c r="I181"/>
  <c r="J181"/>
  <c r="G181"/>
  <c r="T407" i="23"/>
  <c r="P407"/>
  <c r="D407"/>
  <c r="J407"/>
  <c r="K407"/>
  <c r="D433"/>
  <c r="D437"/>
  <c r="D434"/>
  <c r="D435"/>
  <c r="D436"/>
  <c r="J14" i="10"/>
  <c r="V434" i="23"/>
  <c r="C433"/>
  <c r="V433"/>
  <c r="C435"/>
  <c r="J15" i="10"/>
  <c r="C436" i="23"/>
  <c r="J16" i="10"/>
  <c r="L16"/>
  <c r="V436" i="23"/>
  <c r="V435"/>
  <c r="C407"/>
  <c r="T430"/>
  <c r="P430"/>
  <c r="K430"/>
  <c r="J430"/>
  <c r="D430"/>
  <c r="C430"/>
  <c r="C420"/>
  <c r="Z413"/>
  <c r="Y413"/>
  <c r="X413"/>
  <c r="Z412"/>
  <c r="Y412"/>
  <c r="X412"/>
  <c r="Z411"/>
  <c r="Y411"/>
  <c r="X411"/>
  <c r="T411"/>
  <c r="P411"/>
  <c r="K411"/>
  <c r="J411"/>
  <c r="H411"/>
  <c r="G411"/>
  <c r="D411"/>
  <c r="T410"/>
  <c r="P410"/>
  <c r="D410"/>
  <c r="C410"/>
  <c r="W409"/>
  <c r="V409"/>
  <c r="T409"/>
  <c r="T414"/>
  <c r="P409"/>
  <c r="J409"/>
  <c r="H409"/>
  <c r="D409"/>
  <c r="C409"/>
  <c r="Z408"/>
  <c r="Z407"/>
  <c r="Y408"/>
  <c r="Y407"/>
  <c r="X408"/>
  <c r="X407"/>
  <c r="S395"/>
  <c r="E395"/>
  <c r="O395"/>
  <c r="R394"/>
  <c r="N394"/>
  <c r="R392"/>
  <c r="I392"/>
  <c r="N392"/>
  <c r="R391"/>
  <c r="N391"/>
  <c r="R390"/>
  <c r="N390"/>
  <c r="R389"/>
  <c r="N389"/>
  <c r="R388"/>
  <c r="N388"/>
  <c r="R387"/>
  <c r="I387"/>
  <c r="N387"/>
  <c r="R386"/>
  <c r="R385"/>
  <c r="I385"/>
  <c r="N385"/>
  <c r="R384"/>
  <c r="R383"/>
  <c r="R382"/>
  <c r="R381"/>
  <c r="I381"/>
  <c r="R380"/>
  <c r="R379"/>
  <c r="N379"/>
  <c r="R378"/>
  <c r="N378"/>
  <c r="R377"/>
  <c r="N377"/>
  <c r="R376"/>
  <c r="R375"/>
  <c r="N375"/>
  <c r="R374"/>
  <c r="R373"/>
  <c r="R372"/>
  <c r="R371"/>
  <c r="N371"/>
  <c r="R370"/>
  <c r="I370"/>
  <c r="R369"/>
  <c r="R368"/>
  <c r="N368"/>
  <c r="R367"/>
  <c r="N367"/>
  <c r="R366"/>
  <c r="N366"/>
  <c r="R365"/>
  <c r="R364"/>
  <c r="N364"/>
  <c r="R363"/>
  <c r="N363"/>
  <c r="R362"/>
  <c r="N362"/>
  <c r="R361"/>
  <c r="N361"/>
  <c r="R360"/>
  <c r="N360"/>
  <c r="R359"/>
  <c r="N359"/>
  <c r="R358"/>
  <c r="R357"/>
  <c r="N357"/>
  <c r="R356"/>
  <c r="R355"/>
  <c r="R354"/>
  <c r="N354"/>
  <c r="R353"/>
  <c r="R352"/>
  <c r="R351"/>
  <c r="R350"/>
  <c r="R349"/>
  <c r="R348"/>
  <c r="R347"/>
  <c r="N347"/>
  <c r="R346"/>
  <c r="F346"/>
  <c r="R345"/>
  <c r="N345"/>
  <c r="R344"/>
  <c r="F344"/>
  <c r="R343"/>
  <c r="N343"/>
  <c r="R342"/>
  <c r="R341"/>
  <c r="R340"/>
  <c r="R339"/>
  <c r="J339"/>
  <c r="R338"/>
  <c r="R337"/>
  <c r="J337"/>
  <c r="R336"/>
  <c r="R335"/>
  <c r="R334"/>
  <c r="J334"/>
  <c r="N334"/>
  <c r="R333"/>
  <c r="R332"/>
  <c r="J332"/>
  <c r="R331"/>
  <c r="R330"/>
  <c r="R329"/>
  <c r="R328"/>
  <c r="J328"/>
  <c r="N328"/>
  <c r="R327"/>
  <c r="R326"/>
  <c r="R325"/>
  <c r="J325"/>
  <c r="R324"/>
  <c r="M324"/>
  <c r="R323"/>
  <c r="J323"/>
  <c r="F323"/>
  <c r="R322"/>
  <c r="R321"/>
  <c r="J321"/>
  <c r="R320"/>
  <c r="R319"/>
  <c r="J319"/>
  <c r="R318"/>
  <c r="N318"/>
  <c r="R317"/>
  <c r="N317"/>
  <c r="R316"/>
  <c r="R315"/>
  <c r="R314"/>
  <c r="J314"/>
  <c r="R313"/>
  <c r="N313"/>
  <c r="R312"/>
  <c r="N312"/>
  <c r="R311"/>
  <c r="R310"/>
  <c r="N310"/>
  <c r="R309"/>
  <c r="N309"/>
  <c r="R308"/>
  <c r="N308"/>
  <c r="R307"/>
  <c r="N307"/>
  <c r="F307"/>
  <c r="R306"/>
  <c r="R305"/>
  <c r="I305"/>
  <c r="R304"/>
  <c r="R303"/>
  <c r="R302"/>
  <c r="R301"/>
  <c r="I301"/>
  <c r="F301"/>
  <c r="R300"/>
  <c r="R299"/>
  <c r="R298"/>
  <c r="R297"/>
  <c r="N297"/>
  <c r="R296"/>
  <c r="N296"/>
  <c r="R295"/>
  <c r="N295"/>
  <c r="R294"/>
  <c r="F294"/>
  <c r="N294"/>
  <c r="R293"/>
  <c r="N293"/>
  <c r="R292"/>
  <c r="N292"/>
  <c r="R291"/>
  <c r="N291"/>
  <c r="R290"/>
  <c r="R289"/>
  <c r="R288"/>
  <c r="R287"/>
  <c r="R286"/>
  <c r="I286"/>
  <c r="F286"/>
  <c r="R285"/>
  <c r="R284"/>
  <c r="N284"/>
  <c r="R283"/>
  <c r="N283"/>
  <c r="R282"/>
  <c r="R281"/>
  <c r="N281"/>
  <c r="R280"/>
  <c r="N280"/>
  <c r="R279"/>
  <c r="N279"/>
  <c r="R278"/>
  <c r="N278"/>
  <c r="R277"/>
  <c r="N277"/>
  <c r="R276"/>
  <c r="N276"/>
  <c r="R275"/>
  <c r="R272"/>
  <c r="N271"/>
  <c r="R270"/>
  <c r="R269"/>
  <c r="R268"/>
  <c r="R267"/>
  <c r="R266"/>
  <c r="R265"/>
  <c r="N265"/>
  <c r="R264"/>
  <c r="N264"/>
  <c r="R263"/>
  <c r="N263"/>
  <c r="R262"/>
  <c r="N262"/>
  <c r="R261"/>
  <c r="R260"/>
  <c r="R259"/>
  <c r="R258"/>
  <c r="N258"/>
  <c r="R257"/>
  <c r="R256"/>
  <c r="N256"/>
  <c r="R255"/>
  <c r="N255"/>
  <c r="R254"/>
  <c r="R253"/>
  <c r="K253"/>
  <c r="K410"/>
  <c r="R252"/>
  <c r="R251"/>
  <c r="R250"/>
  <c r="R249"/>
  <c r="N249"/>
  <c r="R248"/>
  <c r="R247"/>
  <c r="R246"/>
  <c r="R244"/>
  <c r="R243"/>
  <c r="N243"/>
  <c r="R242"/>
  <c r="N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N221"/>
  <c r="R220"/>
  <c r="R219"/>
  <c r="I219"/>
  <c r="R218"/>
  <c r="R217"/>
  <c r="I217"/>
  <c r="R216"/>
  <c r="R215"/>
  <c r="I215"/>
  <c r="R214"/>
  <c r="R213"/>
  <c r="I213"/>
  <c r="O213"/>
  <c r="R212"/>
  <c r="R211"/>
  <c r="I211"/>
  <c r="O211"/>
  <c r="R210"/>
  <c r="R209"/>
  <c r="I209"/>
  <c r="R208"/>
  <c r="R207"/>
  <c r="I207"/>
  <c r="R206"/>
  <c r="R205"/>
  <c r="I205"/>
  <c r="R204"/>
  <c r="R203"/>
  <c r="R202"/>
  <c r="R201"/>
  <c r="N201"/>
  <c r="R200"/>
  <c r="R199"/>
  <c r="R198"/>
  <c r="R197"/>
  <c r="N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N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N147"/>
  <c r="R146"/>
  <c r="N146"/>
  <c r="R145"/>
  <c r="R144"/>
  <c r="R143"/>
  <c r="R142"/>
  <c r="R141"/>
  <c r="R140"/>
  <c r="R139"/>
  <c r="R138"/>
  <c r="N138"/>
  <c r="R137"/>
  <c r="U137"/>
  <c r="N137"/>
  <c r="R136"/>
  <c r="N136"/>
  <c r="R135"/>
  <c r="R134"/>
  <c r="N134"/>
  <c r="R133"/>
  <c r="N133"/>
  <c r="R132"/>
  <c r="N132"/>
  <c r="R131"/>
  <c r="F131"/>
  <c r="R130"/>
  <c r="N130"/>
  <c r="R129"/>
  <c r="U129"/>
  <c r="N129"/>
  <c r="R128"/>
  <c r="N128"/>
  <c r="R127"/>
  <c r="R126"/>
  <c r="O126"/>
  <c r="N126"/>
  <c r="R125"/>
  <c r="N125"/>
  <c r="R124"/>
  <c r="U124"/>
  <c r="N124"/>
  <c r="R123"/>
  <c r="N123"/>
  <c r="R122"/>
  <c r="U122"/>
  <c r="N122"/>
  <c r="R121"/>
  <c r="N121"/>
  <c r="R120"/>
  <c r="U120"/>
  <c r="N120"/>
  <c r="R119"/>
  <c r="N119"/>
  <c r="R118"/>
  <c r="R117"/>
  <c r="R116"/>
  <c r="R115"/>
  <c r="R114"/>
  <c r="R113"/>
  <c r="R112"/>
  <c r="R111"/>
  <c r="R110"/>
  <c r="R109"/>
  <c r="R108"/>
  <c r="R107"/>
  <c r="R106"/>
  <c r="R105"/>
  <c r="N105"/>
  <c r="R104"/>
  <c r="R103"/>
  <c r="N103"/>
  <c r="R102"/>
  <c r="R101"/>
  <c r="R100"/>
  <c r="R99"/>
  <c r="R98"/>
  <c r="R97"/>
  <c r="R96"/>
  <c r="R95"/>
  <c r="R94"/>
  <c r="R93"/>
  <c r="R92"/>
  <c r="R91"/>
  <c r="N91"/>
  <c r="R90"/>
  <c r="R89"/>
  <c r="R88"/>
  <c r="R87"/>
  <c r="N87"/>
  <c r="R86"/>
  <c r="N86"/>
  <c r="R85"/>
  <c r="R84"/>
  <c r="R83"/>
  <c r="R82"/>
  <c r="R81"/>
  <c r="R80"/>
  <c r="R79"/>
  <c r="R78"/>
  <c r="N78"/>
  <c r="R77"/>
  <c r="R76"/>
  <c r="R75"/>
  <c r="R74"/>
  <c r="R73"/>
  <c r="R72"/>
  <c r="R71"/>
  <c r="U71"/>
  <c r="R70"/>
  <c r="R69"/>
  <c r="R68"/>
  <c r="R67"/>
  <c r="R66"/>
  <c r="N66"/>
  <c r="R65"/>
  <c r="R64"/>
  <c r="F64"/>
  <c r="R63"/>
  <c r="N63"/>
  <c r="R62"/>
  <c r="N62"/>
  <c r="R61"/>
  <c r="F61"/>
  <c r="R60"/>
  <c r="F60"/>
  <c r="R59"/>
  <c r="I59"/>
  <c r="R58"/>
  <c r="I58"/>
  <c r="O58"/>
  <c r="R57"/>
  <c r="R56"/>
  <c r="R55"/>
  <c r="R53"/>
  <c r="R52"/>
  <c r="N52"/>
  <c r="R51"/>
  <c r="R50"/>
  <c r="R49"/>
  <c r="R48"/>
  <c r="R47"/>
  <c r="N47"/>
  <c r="R46"/>
  <c r="R45"/>
  <c r="R44"/>
  <c r="R43"/>
  <c r="R42"/>
  <c r="N42"/>
  <c r="R41"/>
  <c r="R40"/>
  <c r="R39"/>
  <c r="R38"/>
  <c r="R37"/>
  <c r="R36"/>
  <c r="U36"/>
  <c r="R35"/>
  <c r="R34"/>
  <c r="U34"/>
  <c r="R33"/>
  <c r="R32"/>
  <c r="U32"/>
  <c r="R31"/>
  <c r="N31"/>
  <c r="R30"/>
  <c r="U30"/>
  <c r="R29"/>
  <c r="R28"/>
  <c r="U28"/>
  <c r="N28"/>
  <c r="R27"/>
  <c r="N27"/>
  <c r="R26"/>
  <c r="U26"/>
  <c r="R25"/>
  <c r="R24"/>
  <c r="U24"/>
  <c r="N24"/>
  <c r="R23"/>
  <c r="N23"/>
  <c r="R22"/>
  <c r="U22"/>
  <c r="N22"/>
  <c r="R21"/>
  <c r="R20"/>
  <c r="U20"/>
  <c r="R19"/>
  <c r="N19"/>
  <c r="R18"/>
  <c r="U18"/>
  <c r="R17"/>
  <c r="R16"/>
  <c r="U16"/>
  <c r="N16"/>
  <c r="R15"/>
  <c r="N15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R13"/>
  <c r="N13"/>
  <c r="T12"/>
  <c r="T431"/>
  <c r="P12"/>
  <c r="P431"/>
  <c r="D12"/>
  <c r="D431"/>
  <c r="C12"/>
  <c r="J11" i="10"/>
  <c r="F290" i="23"/>
  <c r="I306"/>
  <c r="F306"/>
  <c r="J336"/>
  <c r="F378"/>
  <c r="I248"/>
  <c r="L395"/>
  <c r="M395"/>
  <c r="F305"/>
  <c r="J340"/>
  <c r="Q409"/>
  <c r="Q410"/>
  <c r="N288"/>
  <c r="F293"/>
  <c r="U293"/>
  <c r="F317"/>
  <c r="J322"/>
  <c r="N322"/>
  <c r="N38"/>
  <c r="N40"/>
  <c r="N110"/>
  <c r="N185"/>
  <c r="N229"/>
  <c r="I259"/>
  <c r="I282"/>
  <c r="N282"/>
  <c r="J320"/>
  <c r="F320"/>
  <c r="J324"/>
  <c r="N148"/>
  <c r="F319"/>
  <c r="J342"/>
  <c r="F342"/>
  <c r="F361"/>
  <c r="U361"/>
  <c r="F369"/>
  <c r="N26"/>
  <c r="N104"/>
  <c r="F278"/>
  <c r="U278"/>
  <c r="N44"/>
  <c r="F62"/>
  <c r="F63"/>
  <c r="N93"/>
  <c r="N112"/>
  <c r="F127"/>
  <c r="F133"/>
  <c r="F134"/>
  <c r="N127"/>
  <c r="F58"/>
  <c r="N69"/>
  <c r="M409"/>
  <c r="N108"/>
  <c r="F126"/>
  <c r="N236"/>
  <c r="I253"/>
  <c r="O253"/>
  <c r="N253"/>
  <c r="F281"/>
  <c r="F283"/>
  <c r="F284"/>
  <c r="U284"/>
  <c r="I298"/>
  <c r="F298"/>
  <c r="I300"/>
  <c r="N300"/>
  <c r="J338"/>
  <c r="F338"/>
  <c r="F339"/>
  <c r="F345"/>
  <c r="U345"/>
  <c r="J355"/>
  <c r="N355"/>
  <c r="F362"/>
  <c r="U362"/>
  <c r="I372"/>
  <c r="N372"/>
  <c r="I374"/>
  <c r="N374"/>
  <c r="I376"/>
  <c r="F376"/>
  <c r="F377"/>
  <c r="U377"/>
  <c r="F389"/>
  <c r="U389"/>
  <c r="I254"/>
  <c r="O254"/>
  <c r="F270"/>
  <c r="I275"/>
  <c r="E407"/>
  <c r="H410"/>
  <c r="H414"/>
  <c r="J330"/>
  <c r="N330"/>
  <c r="F337"/>
  <c r="F357"/>
  <c r="U357"/>
  <c r="F365"/>
  <c r="U365"/>
  <c r="F366"/>
  <c r="U366"/>
  <c r="N370"/>
  <c r="N381"/>
  <c r="I383"/>
  <c r="N383"/>
  <c r="N286"/>
  <c r="Q407"/>
  <c r="N270"/>
  <c r="S407"/>
  <c r="N332"/>
  <c r="F340"/>
  <c r="Q430"/>
  <c r="Q411"/>
  <c r="V437"/>
  <c r="C437"/>
  <c r="N35"/>
  <c r="S411"/>
  <c r="R14"/>
  <c r="S12"/>
  <c r="S431"/>
  <c r="E411"/>
  <c r="N17"/>
  <c r="N18"/>
  <c r="N20"/>
  <c r="N34"/>
  <c r="N36"/>
  <c r="N50"/>
  <c r="N58"/>
  <c r="N71"/>
  <c r="N30"/>
  <c r="N32"/>
  <c r="N46"/>
  <c r="N48"/>
  <c r="N21"/>
  <c r="N25"/>
  <c r="N29"/>
  <c r="N33"/>
  <c r="N37"/>
  <c r="N41"/>
  <c r="N45"/>
  <c r="N49"/>
  <c r="N53"/>
  <c r="N60"/>
  <c r="N64"/>
  <c r="N72"/>
  <c r="N74"/>
  <c r="N84"/>
  <c r="N85"/>
  <c r="N94"/>
  <c r="N55"/>
  <c r="N61"/>
  <c r="N65"/>
  <c r="N68"/>
  <c r="N83"/>
  <c r="N118"/>
  <c r="N99"/>
  <c r="F121"/>
  <c r="F125"/>
  <c r="F128"/>
  <c r="U128"/>
  <c r="F132"/>
  <c r="N144"/>
  <c r="N151"/>
  <c r="N131"/>
  <c r="N135"/>
  <c r="N145"/>
  <c r="N181"/>
  <c r="N183"/>
  <c r="F205"/>
  <c r="F207"/>
  <c r="F211"/>
  <c r="F215"/>
  <c r="F219"/>
  <c r="N238"/>
  <c r="I247"/>
  <c r="N251"/>
  <c r="I252"/>
  <c r="N199"/>
  <c r="I204"/>
  <c r="I206"/>
  <c r="I208"/>
  <c r="O208"/>
  <c r="I212"/>
  <c r="I216"/>
  <c r="I218"/>
  <c r="O218"/>
  <c r="N227"/>
  <c r="N235"/>
  <c r="N244"/>
  <c r="S410"/>
  <c r="R245"/>
  <c r="N257"/>
  <c r="S409"/>
  <c r="S414"/>
  <c r="G430"/>
  <c r="E409"/>
  <c r="E410"/>
  <c r="F259"/>
  <c r="N269"/>
  <c r="F279"/>
  <c r="I285"/>
  <c r="I287"/>
  <c r="N287"/>
  <c r="N289"/>
  <c r="F291"/>
  <c r="U291"/>
  <c r="N305"/>
  <c r="N306"/>
  <c r="J315"/>
  <c r="N315"/>
  <c r="U317"/>
  <c r="N323"/>
  <c r="I260"/>
  <c r="F269"/>
  <c r="F271"/>
  <c r="U271"/>
  <c r="F280"/>
  <c r="U280"/>
  <c r="F292"/>
  <c r="I299"/>
  <c r="N299"/>
  <c r="F314"/>
  <c r="N314"/>
  <c r="J316"/>
  <c r="F318"/>
  <c r="N319"/>
  <c r="N321"/>
  <c r="F321"/>
  <c r="F336"/>
  <c r="N311"/>
  <c r="M325"/>
  <c r="M326"/>
  <c r="F330"/>
  <c r="F332"/>
  <c r="J348"/>
  <c r="J350"/>
  <c r="N350"/>
  <c r="J352"/>
  <c r="F354"/>
  <c r="U354"/>
  <c r="F360"/>
  <c r="U360"/>
  <c r="N365"/>
  <c r="U378"/>
  <c r="J327"/>
  <c r="J329"/>
  <c r="J331"/>
  <c r="N331"/>
  <c r="J333"/>
  <c r="N333"/>
  <c r="J335"/>
  <c r="N335"/>
  <c r="N336"/>
  <c r="N337"/>
  <c r="N338"/>
  <c r="N339"/>
  <c r="N340"/>
  <c r="F358"/>
  <c r="U369"/>
  <c r="N369"/>
  <c r="J326"/>
  <c r="N326"/>
  <c r="N344"/>
  <c r="N346"/>
  <c r="J349"/>
  <c r="N349"/>
  <c r="J351"/>
  <c r="N351"/>
  <c r="J353"/>
  <c r="N358"/>
  <c r="J341"/>
  <c r="N341"/>
  <c r="F343"/>
  <c r="U343"/>
  <c r="F347"/>
  <c r="U347"/>
  <c r="J356"/>
  <c r="F356"/>
  <c r="F359"/>
  <c r="U359"/>
  <c r="F363"/>
  <c r="U363"/>
  <c r="F367"/>
  <c r="U367"/>
  <c r="F370"/>
  <c r="U370"/>
  <c r="I373"/>
  <c r="F373"/>
  <c r="F375"/>
  <c r="U375"/>
  <c r="F379"/>
  <c r="U379"/>
  <c r="F381"/>
  <c r="N395"/>
  <c r="N430"/>
  <c r="N431"/>
  <c r="F364"/>
  <c r="U364"/>
  <c r="F368"/>
  <c r="U368"/>
  <c r="F371"/>
  <c r="U371"/>
  <c r="N376"/>
  <c r="S430"/>
  <c r="I382"/>
  <c r="F383"/>
  <c r="U383"/>
  <c r="F385"/>
  <c r="U385"/>
  <c r="F387"/>
  <c r="F390"/>
  <c r="F392"/>
  <c r="R393"/>
  <c r="E430"/>
  <c r="I384"/>
  <c r="N384"/>
  <c r="I386"/>
  <c r="F391"/>
  <c r="U391"/>
  <c r="F395"/>
  <c r="R395"/>
  <c r="N90"/>
  <c r="F218"/>
  <c r="H430"/>
  <c r="I407"/>
  <c r="U342"/>
  <c r="F374"/>
  <c r="U374"/>
  <c r="H407"/>
  <c r="H12"/>
  <c r="N254"/>
  <c r="F208"/>
  <c r="L409"/>
  <c r="N142"/>
  <c r="F300"/>
  <c r="U300"/>
  <c r="F265"/>
  <c r="U265"/>
  <c r="N250"/>
  <c r="F372"/>
  <c r="U372"/>
  <c r="G407"/>
  <c r="N101"/>
  <c r="N356"/>
  <c r="N261"/>
  <c r="N245"/>
  <c r="K409"/>
  <c r="F206"/>
  <c r="F247"/>
  <c r="N220"/>
  <c r="N208"/>
  <c r="N177"/>
  <c r="N139"/>
  <c r="N109"/>
  <c r="N67"/>
  <c r="N14"/>
  <c r="F341"/>
  <c r="U341"/>
  <c r="F299"/>
  <c r="U299"/>
  <c r="I409"/>
  <c r="F212"/>
  <c r="N170"/>
  <c r="U58"/>
  <c r="N218"/>
  <c r="N202"/>
  <c r="N189"/>
  <c r="N113"/>
  <c r="F331"/>
  <c r="U331"/>
  <c r="N302"/>
  <c r="I430"/>
  <c r="G409"/>
  <c r="N285"/>
  <c r="N111"/>
  <c r="G12"/>
  <c r="G431"/>
  <c r="N77"/>
  <c r="H121" i="2"/>
  <c r="I121"/>
  <c r="J121"/>
  <c r="G121"/>
  <c r="J182"/>
  <c r="I182"/>
  <c r="I180"/>
  <c r="G99"/>
  <c r="F108"/>
  <c r="C99"/>
  <c r="C92"/>
  <c r="D76"/>
  <c r="D54"/>
  <c r="D49" i="14"/>
  <c r="F165" i="2"/>
  <c r="F164"/>
  <c r="F162"/>
  <c r="F161"/>
  <c r="F157"/>
  <c r="F156"/>
  <c r="F154"/>
  <c r="F152"/>
  <c r="F149"/>
  <c r="F148"/>
  <c r="F147"/>
  <c r="F146"/>
  <c r="F145"/>
  <c r="F144"/>
  <c r="F143"/>
  <c r="F142"/>
  <c r="F141"/>
  <c r="F140"/>
  <c r="F139"/>
  <c r="F136"/>
  <c r="F135"/>
  <c r="F134"/>
  <c r="F133"/>
  <c r="F132"/>
  <c r="F131"/>
  <c r="F130"/>
  <c r="F129"/>
  <c r="F128"/>
  <c r="F126"/>
  <c r="F125"/>
  <c r="F124"/>
  <c r="F123"/>
  <c r="F120"/>
  <c r="F119"/>
  <c r="F118"/>
  <c r="F114"/>
  <c r="F113"/>
  <c r="F112"/>
  <c r="F111"/>
  <c r="F110"/>
  <c r="F107"/>
  <c r="F106"/>
  <c r="F105"/>
  <c r="F104"/>
  <c r="F102"/>
  <c r="F101"/>
  <c r="F91"/>
  <c r="F90"/>
  <c r="F89"/>
  <c r="F88"/>
  <c r="F87"/>
  <c r="F86"/>
  <c r="F85"/>
  <c r="F84"/>
  <c r="F83"/>
  <c r="F82"/>
  <c r="F81"/>
  <c r="F80"/>
  <c r="F79"/>
  <c r="F78"/>
  <c r="F77"/>
  <c r="F75"/>
  <c r="F74"/>
  <c r="F73"/>
  <c r="F72"/>
  <c r="F71"/>
  <c r="F70"/>
  <c r="F69"/>
  <c r="F68"/>
  <c r="F67"/>
  <c r="F66"/>
  <c r="F65"/>
  <c r="F64"/>
  <c r="F61"/>
  <c r="F60"/>
  <c r="F59"/>
  <c r="F58"/>
  <c r="F57"/>
  <c r="F56"/>
  <c r="F55"/>
  <c r="Q8" i="9"/>
  <c r="AA75"/>
  <c r="AA74"/>
  <c r="H127" i="2"/>
  <c r="I127"/>
  <c r="J127"/>
  <c r="G127"/>
  <c r="G44"/>
  <c r="G42"/>
  <c r="F43"/>
  <c r="F45"/>
  <c r="F46"/>
  <c r="F48"/>
  <c r="F51"/>
  <c r="F52"/>
  <c r="F53"/>
  <c r="F49"/>
  <c r="J185"/>
  <c r="I185"/>
  <c r="H185"/>
  <c r="G185"/>
  <c r="G182"/>
  <c r="G180"/>
  <c r="F103"/>
  <c r="F137"/>
  <c r="F138"/>
  <c r="F16"/>
  <c r="F17"/>
  <c r="F20"/>
  <c r="F23"/>
  <c r="F24"/>
  <c r="F25"/>
  <c r="F27"/>
  <c r="F28"/>
  <c r="F29"/>
  <c r="F30"/>
  <c r="F31"/>
  <c r="F32"/>
  <c r="F33"/>
  <c r="F34"/>
  <c r="F35"/>
  <c r="F36"/>
  <c r="F37"/>
  <c r="F38"/>
  <c r="F40"/>
  <c r="F15"/>
  <c r="J76"/>
  <c r="I76"/>
  <c r="H76"/>
  <c r="G76"/>
  <c r="E33" i="24"/>
  <c r="E163" i="2"/>
  <c r="E160"/>
  <c r="E158"/>
  <c r="E20" i="24"/>
  <c r="E19"/>
  <c r="E14"/>
  <c r="E13"/>
  <c r="O21" i="2"/>
  <c r="O185"/>
  <c r="E29" i="24"/>
  <c r="E28"/>
  <c r="E30"/>
  <c r="E31"/>
  <c r="E26"/>
  <c r="E27"/>
  <c r="F83" i="14"/>
  <c r="F80"/>
  <c r="E83"/>
  <c r="E80"/>
  <c r="D83"/>
  <c r="D80"/>
  <c r="J37" i="19"/>
  <c r="J53"/>
  <c r="J26" i="2"/>
  <c r="J22"/>
  <c r="I37" i="19"/>
  <c r="I53"/>
  <c r="I26" i="2"/>
  <c r="I22"/>
  <c r="H37" i="19"/>
  <c r="H53"/>
  <c r="H26" i="2"/>
  <c r="G37" i="19"/>
  <c r="G53"/>
  <c r="G26" i="2"/>
  <c r="D37" i="19"/>
  <c r="D32"/>
  <c r="D29"/>
  <c r="E29"/>
  <c r="C29"/>
  <c r="D181" i="2"/>
  <c r="J163"/>
  <c r="I163"/>
  <c r="H163"/>
  <c r="G163"/>
  <c r="D163"/>
  <c r="I158"/>
  <c r="H158"/>
  <c r="G158"/>
  <c r="D158"/>
  <c r="C158"/>
  <c r="J160"/>
  <c r="I160"/>
  <c r="H160"/>
  <c r="G160"/>
  <c r="D160"/>
  <c r="J155"/>
  <c r="I155"/>
  <c r="H155"/>
  <c r="G155"/>
  <c r="G175"/>
  <c r="D155"/>
  <c r="D175"/>
  <c r="D53" i="14"/>
  <c r="D109" i="2"/>
  <c r="J44"/>
  <c r="J42"/>
  <c r="I44"/>
  <c r="I42"/>
  <c r="D44"/>
  <c r="D42"/>
  <c r="H22"/>
  <c r="D22"/>
  <c r="D14"/>
  <c r="E10" i="11"/>
  <c r="D74" i="14"/>
  <c r="F10" i="11"/>
  <c r="E74" i="14"/>
  <c r="G10" i="11"/>
  <c r="F74" i="14"/>
  <c r="E11" i="11"/>
  <c r="F11"/>
  <c r="G11"/>
  <c r="D11"/>
  <c r="D10"/>
  <c r="C74" i="14"/>
  <c r="C83"/>
  <c r="C80"/>
  <c r="C37" i="19"/>
  <c r="C32"/>
  <c r="C24"/>
  <c r="C109" i="2"/>
  <c r="C76"/>
  <c r="C14"/>
  <c r="C163"/>
  <c r="C160"/>
  <c r="C155"/>
  <c r="C42"/>
  <c r="E44" i="3"/>
  <c r="E102" i="24"/>
  <c r="E101"/>
  <c r="E98"/>
  <c r="E33" i="3"/>
  <c r="E31"/>
  <c r="E95" i="24"/>
  <c r="E96"/>
  <c r="F8" i="3"/>
  <c r="F9"/>
  <c r="F12"/>
  <c r="F13"/>
  <c r="F14"/>
  <c r="F15"/>
  <c r="F16"/>
  <c r="F17"/>
  <c r="F18"/>
  <c r="F19"/>
  <c r="F20"/>
  <c r="F21"/>
  <c r="F22"/>
  <c r="F23"/>
  <c r="F30"/>
  <c r="F32"/>
  <c r="F34"/>
  <c r="F35"/>
  <c r="F36"/>
  <c r="F37"/>
  <c r="F38"/>
  <c r="F39"/>
  <c r="F45"/>
  <c r="F46"/>
  <c r="F47"/>
  <c r="F48"/>
  <c r="F49"/>
  <c r="F50"/>
  <c r="F51"/>
  <c r="F52"/>
  <c r="F53"/>
  <c r="F55"/>
  <c r="J44"/>
  <c r="I44"/>
  <c r="H44"/>
  <c r="G44"/>
  <c r="J31"/>
  <c r="J95" i="24"/>
  <c r="J96"/>
  <c r="I31" i="3"/>
  <c r="I95" i="24"/>
  <c r="I96"/>
  <c r="H31" i="3"/>
  <c r="H95" i="24"/>
  <c r="H96"/>
  <c r="G31" i="3"/>
  <c r="G95" i="24"/>
  <c r="G96"/>
  <c r="D44" i="3"/>
  <c r="D33"/>
  <c r="D31"/>
  <c r="D11"/>
  <c r="C44"/>
  <c r="C33"/>
  <c r="C31"/>
  <c r="C11"/>
  <c r="C7"/>
  <c r="E48" i="10"/>
  <c r="E45"/>
  <c r="H46"/>
  <c r="H43"/>
  <c r="J46"/>
  <c r="J43"/>
  <c r="K46"/>
  <c r="K43"/>
  <c r="F34"/>
  <c r="F33"/>
  <c r="H22"/>
  <c r="H30"/>
  <c r="H24"/>
  <c r="H32"/>
  <c r="F24"/>
  <c r="F19"/>
  <c r="E18" i="22"/>
  <c r="D18"/>
  <c r="C18"/>
  <c r="F13" i="2"/>
  <c r="F12"/>
  <c r="F10"/>
  <c r="F9"/>
  <c r="J11"/>
  <c r="I11"/>
  <c r="H11"/>
  <c r="G11"/>
  <c r="J8"/>
  <c r="I8"/>
  <c r="H8"/>
  <c r="H7"/>
  <c r="H100"/>
  <c r="G8"/>
  <c r="D8"/>
  <c r="E8"/>
  <c r="D11"/>
  <c r="E11"/>
  <c r="C11"/>
  <c r="C8"/>
  <c r="V45" i="9"/>
  <c r="G44"/>
  <c r="G45"/>
  <c r="G42"/>
  <c r="F18" i="22"/>
  <c r="V20" i="9"/>
  <c r="L34"/>
  <c r="L32"/>
  <c r="L33"/>
  <c r="L31"/>
  <c r="L43"/>
  <c r="L44"/>
  <c r="L45"/>
  <c r="N46"/>
  <c r="P46"/>
  <c r="R46"/>
  <c r="T46"/>
  <c r="L42"/>
  <c r="V32"/>
  <c r="V33"/>
  <c r="V34"/>
  <c r="X35"/>
  <c r="Z35"/>
  <c r="AB35"/>
  <c r="AD35"/>
  <c r="V31"/>
  <c r="N35"/>
  <c r="P35"/>
  <c r="R35"/>
  <c r="T35"/>
  <c r="G31"/>
  <c r="L12" i="10"/>
  <c r="N12"/>
  <c r="L14"/>
  <c r="N14"/>
  <c r="L15"/>
  <c r="N15"/>
  <c r="L18"/>
  <c r="N18"/>
  <c r="D187" i="2"/>
  <c r="C187"/>
  <c r="E58" i="9"/>
  <c r="AC11"/>
  <c r="Z11"/>
  <c r="W11"/>
  <c r="T11"/>
  <c r="E62" i="14"/>
  <c r="D62"/>
  <c r="C62"/>
  <c r="F21" i="19"/>
  <c r="F31"/>
  <c r="F30"/>
  <c r="F29"/>
  <c r="F27"/>
  <c r="F26"/>
  <c r="F25"/>
  <c r="F20"/>
  <c r="F19"/>
  <c r="F61" i="14"/>
  <c r="F18" i="19"/>
  <c r="F60" i="14"/>
  <c r="F15" i="19"/>
  <c r="F14"/>
  <c r="F13"/>
  <c r="F12"/>
  <c r="F11"/>
  <c r="F10"/>
  <c r="F9"/>
  <c r="M57" i="9"/>
  <c r="M56"/>
  <c r="M55"/>
  <c r="S58"/>
  <c r="Q58"/>
  <c r="O58"/>
  <c r="K58"/>
  <c r="I58"/>
  <c r="G58"/>
  <c r="K35"/>
  <c r="J35"/>
  <c r="I35"/>
  <c r="H35"/>
  <c r="G34"/>
  <c r="G33"/>
  <c r="G32"/>
  <c r="AD23"/>
  <c r="AB23"/>
  <c r="Z23"/>
  <c r="X23"/>
  <c r="V22"/>
  <c r="V21"/>
  <c r="V19"/>
  <c r="M10"/>
  <c r="M9"/>
  <c r="K58" i="10"/>
  <c r="F172" i="2"/>
  <c r="F170"/>
  <c r="F168"/>
  <c r="F167"/>
  <c r="F56" i="14"/>
  <c r="D50"/>
  <c r="C50"/>
  <c r="E64"/>
  <c r="D64"/>
  <c r="C64"/>
  <c r="E61"/>
  <c r="D61"/>
  <c r="C61"/>
  <c r="E60"/>
  <c r="D60"/>
  <c r="C60"/>
  <c r="E56"/>
  <c r="D56"/>
  <c r="C56"/>
  <c r="B54"/>
  <c r="B71"/>
  <c r="B65"/>
  <c r="B64"/>
  <c r="B63"/>
  <c r="B61"/>
  <c r="B60"/>
  <c r="B58"/>
  <c r="B57"/>
  <c r="B56"/>
  <c r="B55"/>
  <c r="B53"/>
  <c r="B52"/>
  <c r="B51"/>
  <c r="B49"/>
  <c r="B50"/>
  <c r="B48"/>
  <c r="B47"/>
  <c r="B46"/>
  <c r="C75"/>
  <c r="F62"/>
  <c r="C47"/>
  <c r="C98" i="24"/>
  <c r="V23" i="9"/>
  <c r="F260" i="23"/>
  <c r="O260"/>
  <c r="N216"/>
  <c r="O216"/>
  <c r="O204"/>
  <c r="N204"/>
  <c r="N247"/>
  <c r="O247"/>
  <c r="O207"/>
  <c r="N207"/>
  <c r="N215"/>
  <c r="O215"/>
  <c r="O240"/>
  <c r="N240"/>
  <c r="N102"/>
  <c r="O102"/>
  <c r="O81"/>
  <c r="N81"/>
  <c r="N194"/>
  <c r="O194"/>
  <c r="O178"/>
  <c r="N178"/>
  <c r="N174"/>
  <c r="O174"/>
  <c r="O163"/>
  <c r="N163"/>
  <c r="F114"/>
  <c r="O114"/>
  <c r="I413"/>
  <c r="N212"/>
  <c r="O212"/>
  <c r="U212"/>
  <c r="O205"/>
  <c r="U205"/>
  <c r="N239"/>
  <c r="O239"/>
  <c r="O80"/>
  <c r="U80"/>
  <c r="N200"/>
  <c r="O200"/>
  <c r="O193"/>
  <c r="N193"/>
  <c r="N162"/>
  <c r="O162"/>
  <c r="O141"/>
  <c r="N141"/>
  <c r="O230"/>
  <c r="N230"/>
  <c r="O116"/>
  <c r="N116"/>
  <c r="F352"/>
  <c r="O252"/>
  <c r="N252"/>
  <c r="F275"/>
  <c r="O275"/>
  <c r="O219"/>
  <c r="N219"/>
  <c r="N210"/>
  <c r="O210"/>
  <c r="O180"/>
  <c r="N180"/>
  <c r="N172"/>
  <c r="O172"/>
  <c r="O157"/>
  <c r="N157"/>
  <c r="N153"/>
  <c r="O153"/>
  <c r="O233"/>
  <c r="N233"/>
  <c r="N226"/>
  <c r="O226"/>
  <c r="O222"/>
  <c r="N222"/>
  <c r="K413"/>
  <c r="K414"/>
  <c r="N206"/>
  <c r="O206"/>
  <c r="O259"/>
  <c r="U259"/>
  <c r="F248"/>
  <c r="O248"/>
  <c r="O59"/>
  <c r="O411"/>
  <c r="N411"/>
  <c r="N209"/>
  <c r="O209"/>
  <c r="O217"/>
  <c r="U217"/>
  <c r="N241"/>
  <c r="O241"/>
  <c r="O100"/>
  <c r="N100"/>
  <c r="N82"/>
  <c r="O82"/>
  <c r="O79"/>
  <c r="N79"/>
  <c r="N179"/>
  <c r="O179"/>
  <c r="O149"/>
  <c r="N149"/>
  <c r="O140"/>
  <c r="N140"/>
  <c r="F232"/>
  <c r="O232"/>
  <c r="N232"/>
  <c r="O115"/>
  <c r="N115"/>
  <c r="O159"/>
  <c r="N159"/>
  <c r="D21" i="24"/>
  <c r="F96"/>
  <c r="G6" i="3"/>
  <c r="H43" i="9"/>
  <c r="H102" i="24"/>
  <c r="H101"/>
  <c r="H98"/>
  <c r="I43" i="9"/>
  <c r="I46"/>
  <c r="Z46"/>
  <c r="I102" i="24"/>
  <c r="I101"/>
  <c r="I98"/>
  <c r="I56"/>
  <c r="I106"/>
  <c r="J43" i="9"/>
  <c r="J46"/>
  <c r="AB46"/>
  <c r="J102" i="24"/>
  <c r="J101"/>
  <c r="J98"/>
  <c r="J56"/>
  <c r="J106"/>
  <c r="K43" i="9"/>
  <c r="K46"/>
  <c r="AD46"/>
  <c r="J6" i="3"/>
  <c r="H6"/>
  <c r="U390" i="23"/>
  <c r="F213"/>
  <c r="U64"/>
  <c r="I6" i="3"/>
  <c r="M407" i="23"/>
  <c r="M411"/>
  <c r="F37" i="19"/>
  <c r="F26" i="2"/>
  <c r="G22"/>
  <c r="H175"/>
  <c r="F185"/>
  <c r="F181"/>
  <c r="J180"/>
  <c r="I7"/>
  <c r="G7"/>
  <c r="N393" i="23"/>
  <c r="N413"/>
  <c r="R12"/>
  <c r="R419"/>
  <c r="N16" i="10"/>
  <c r="U332" i="23"/>
  <c r="N325"/>
  <c r="U292"/>
  <c r="F217"/>
  <c r="F209"/>
  <c r="U209"/>
  <c r="I411"/>
  <c r="N301"/>
  <c r="U303"/>
  <c r="F204"/>
  <c r="F326"/>
  <c r="F328"/>
  <c r="U328"/>
  <c r="U63"/>
  <c r="N11" i="10"/>
  <c r="J17"/>
  <c r="U42" i="23"/>
  <c r="U52"/>
  <c r="U38"/>
  <c r="F287"/>
  <c r="U287"/>
  <c r="U206"/>
  <c r="F334"/>
  <c r="F324"/>
  <c r="U324"/>
  <c r="U318"/>
  <c r="U279"/>
  <c r="U283"/>
  <c r="U40"/>
  <c r="U50"/>
  <c r="F221"/>
  <c r="F386"/>
  <c r="U336"/>
  <c r="F348"/>
  <c r="F220"/>
  <c r="C414"/>
  <c r="C431"/>
  <c r="U44"/>
  <c r="U48"/>
  <c r="U55"/>
  <c r="U57"/>
  <c r="U46"/>
  <c r="N248"/>
  <c r="U134"/>
  <c r="F168"/>
  <c r="F162"/>
  <c r="U339"/>
  <c r="F351"/>
  <c r="U51"/>
  <c r="U376"/>
  <c r="U387"/>
  <c r="U269"/>
  <c r="F285"/>
  <c r="U62"/>
  <c r="F23" i="10"/>
  <c r="F31"/>
  <c r="F32"/>
  <c r="F27"/>
  <c r="D27"/>
  <c r="C108" i="24"/>
  <c r="C39"/>
  <c r="E56"/>
  <c r="E106"/>
  <c r="C7" i="2"/>
  <c r="C46" i="14"/>
  <c r="E176" i="2"/>
  <c r="E54" i="14"/>
  <c r="J7" i="2"/>
  <c r="G176"/>
  <c r="H176"/>
  <c r="D47" i="14"/>
  <c r="E12" i="11"/>
  <c r="D75" i="14"/>
  <c r="D178" i="2"/>
  <c r="F8"/>
  <c r="C176"/>
  <c r="C54" i="14"/>
  <c r="E76" i="2"/>
  <c r="E54"/>
  <c r="F121"/>
  <c r="E7"/>
  <c r="E7" i="24"/>
  <c r="I176" i="2"/>
  <c r="D176"/>
  <c r="D54" i="14"/>
  <c r="J176" i="2"/>
  <c r="F127"/>
  <c r="C174"/>
  <c r="C51" i="14"/>
  <c r="D143" i="24"/>
  <c r="C56"/>
  <c r="C106"/>
  <c r="D108"/>
  <c r="I143"/>
  <c r="E23"/>
  <c r="AA123" i="9"/>
  <c r="AA122"/>
  <c r="Q66"/>
  <c r="Q68"/>
  <c r="L35"/>
  <c r="M58"/>
  <c r="Q123"/>
  <c r="Q122"/>
  <c r="K123"/>
  <c r="K122"/>
  <c r="F36" i="24"/>
  <c r="E143"/>
  <c r="J143"/>
  <c r="F145"/>
  <c r="J11"/>
  <c r="F28"/>
  <c r="F20"/>
  <c r="F30"/>
  <c r="F13"/>
  <c r="F19"/>
  <c r="F141"/>
  <c r="F14"/>
  <c r="F26"/>
  <c r="F31"/>
  <c r="F15"/>
  <c r="I108"/>
  <c r="U19" i="23"/>
  <c r="U346"/>
  <c r="U43"/>
  <c r="F67"/>
  <c r="U67"/>
  <c r="U235"/>
  <c r="F110"/>
  <c r="U110"/>
  <c r="F80"/>
  <c r="F224"/>
  <c r="U218"/>
  <c r="U247"/>
  <c r="F335"/>
  <c r="U335"/>
  <c r="N290"/>
  <c r="U270"/>
  <c r="U53"/>
  <c r="U330"/>
  <c r="F59"/>
  <c r="U27"/>
  <c r="U123"/>
  <c r="U307"/>
  <c r="F170"/>
  <c r="F156"/>
  <c r="F141"/>
  <c r="F116"/>
  <c r="F382"/>
  <c r="F315"/>
  <c r="U315"/>
  <c r="U35"/>
  <c r="U197"/>
  <c r="F198"/>
  <c r="N352"/>
  <c r="U352"/>
  <c r="U356"/>
  <c r="U208"/>
  <c r="U323"/>
  <c r="U319"/>
  <c r="K12"/>
  <c r="K431"/>
  <c r="U305"/>
  <c r="U248"/>
  <c r="U29"/>
  <c r="N304"/>
  <c r="F237"/>
  <c r="N106"/>
  <c r="F88"/>
  <c r="F76"/>
  <c r="F70"/>
  <c r="F199"/>
  <c r="U199"/>
  <c r="N195"/>
  <c r="F167"/>
  <c r="N161"/>
  <c r="F139"/>
  <c r="U139"/>
  <c r="F233"/>
  <c r="F226"/>
  <c r="U337"/>
  <c r="F253"/>
  <c r="U253"/>
  <c r="U37"/>
  <c r="U45"/>
  <c r="F327"/>
  <c r="U119"/>
  <c r="F102"/>
  <c r="F96"/>
  <c r="F94"/>
  <c r="U94"/>
  <c r="F93"/>
  <c r="U93"/>
  <c r="F193"/>
  <c r="N190"/>
  <c r="F180"/>
  <c r="U180"/>
  <c r="F179"/>
  <c r="U179"/>
  <c r="F171"/>
  <c r="F150"/>
  <c r="F140"/>
  <c r="U140"/>
  <c r="F234"/>
  <c r="N224"/>
  <c r="N114"/>
  <c r="H431"/>
  <c r="F353"/>
  <c r="U353"/>
  <c r="F329"/>
  <c r="U329"/>
  <c r="F349"/>
  <c r="U349"/>
  <c r="F333"/>
  <c r="U333"/>
  <c r="U321"/>
  <c r="U207"/>
  <c r="U21"/>
  <c r="U136"/>
  <c r="N117"/>
  <c r="U23"/>
  <c r="U31"/>
  <c r="U56"/>
  <c r="U286"/>
  <c r="U290"/>
  <c r="F107"/>
  <c r="F187"/>
  <c r="F176"/>
  <c r="U176"/>
  <c r="F172"/>
  <c r="U172"/>
  <c r="F169"/>
  <c r="N167"/>
  <c r="F166"/>
  <c r="N165"/>
  <c r="N158"/>
  <c r="N150"/>
  <c r="F143"/>
  <c r="U143"/>
  <c r="F228"/>
  <c r="F216"/>
  <c r="U381"/>
  <c r="F282"/>
  <c r="U282"/>
  <c r="U127"/>
  <c r="U39"/>
  <c r="U47"/>
  <c r="U130"/>
  <c r="U294"/>
  <c r="L407"/>
  <c r="F240"/>
  <c r="U240"/>
  <c r="F100"/>
  <c r="F82"/>
  <c r="U82"/>
  <c r="F81"/>
  <c r="F77"/>
  <c r="U77"/>
  <c r="N76"/>
  <c r="F73"/>
  <c r="N191"/>
  <c r="F188"/>
  <c r="N169"/>
  <c r="F163"/>
  <c r="U163"/>
  <c r="F158"/>
  <c r="U158"/>
  <c r="N156"/>
  <c r="F155"/>
  <c r="F152"/>
  <c r="F223"/>
  <c r="F350"/>
  <c r="U350"/>
  <c r="N353"/>
  <c r="J410"/>
  <c r="J414"/>
  <c r="U338"/>
  <c r="N316"/>
  <c r="M12"/>
  <c r="M431"/>
  <c r="F252"/>
  <c r="U252"/>
  <c r="F289"/>
  <c r="U289"/>
  <c r="N327"/>
  <c r="G410"/>
  <c r="G414"/>
  <c r="M410"/>
  <c r="M414"/>
  <c r="F264"/>
  <c r="U264"/>
  <c r="F384"/>
  <c r="U384"/>
  <c r="U392"/>
  <c r="U334"/>
  <c r="F254"/>
  <c r="U254"/>
  <c r="F322"/>
  <c r="U322"/>
  <c r="U15"/>
  <c r="U17"/>
  <c r="U33"/>
  <c r="U135"/>
  <c r="F241"/>
  <c r="U241"/>
  <c r="N107"/>
  <c r="F95"/>
  <c r="F165"/>
  <c r="U165"/>
  <c r="N160"/>
  <c r="L410"/>
  <c r="U61"/>
  <c r="L411"/>
  <c r="U306"/>
  <c r="I410"/>
  <c r="U340"/>
  <c r="N275"/>
  <c r="F288"/>
  <c r="U288"/>
  <c r="F355"/>
  <c r="U355"/>
  <c r="U25"/>
  <c r="U41"/>
  <c r="U49"/>
  <c r="U60"/>
  <c r="F250"/>
  <c r="U250"/>
  <c r="N186"/>
  <c r="F182"/>
  <c r="F153"/>
  <c r="F225"/>
  <c r="L430"/>
  <c r="H26" i="10"/>
  <c r="H34"/>
  <c r="V42" i="9"/>
  <c r="F11" i="2"/>
  <c r="F33" i="3"/>
  <c r="C175" i="2"/>
  <c r="C53" i="14"/>
  <c r="F160" i="2"/>
  <c r="F163"/>
  <c r="U382" i="23"/>
  <c r="N382"/>
  <c r="U351"/>
  <c r="U326"/>
  <c r="U132"/>
  <c r="U131"/>
  <c r="U302"/>
  <c r="R407"/>
  <c r="G35" i="9"/>
  <c r="U211" i="23"/>
  <c r="N211"/>
  <c r="N213"/>
  <c r="U213"/>
  <c r="V35" i="9"/>
  <c r="L46"/>
  <c r="G177" i="2"/>
  <c r="D6" i="3"/>
  <c r="D71" i="14"/>
  <c r="I175" i="2"/>
  <c r="D24" i="19"/>
  <c r="E32"/>
  <c r="E99" i="2"/>
  <c r="E92"/>
  <c r="E50" i="14"/>
  <c r="U216" i="23"/>
  <c r="U204"/>
  <c r="U133"/>
  <c r="N324"/>
  <c r="D7" i="2"/>
  <c r="F31" i="3"/>
  <c r="F155" i="2"/>
  <c r="E109"/>
  <c r="U285" i="23"/>
  <c r="F39" i="2"/>
  <c r="J12" i="23"/>
  <c r="J431"/>
  <c r="F316"/>
  <c r="U316"/>
  <c r="U344"/>
  <c r="U125"/>
  <c r="R409"/>
  <c r="U260"/>
  <c r="U215"/>
  <c r="U121"/>
  <c r="U281"/>
  <c r="U126"/>
  <c r="U358"/>
  <c r="F325"/>
  <c r="U314"/>
  <c r="R410"/>
  <c r="U219"/>
  <c r="R411"/>
  <c r="R430"/>
  <c r="D414"/>
  <c r="P414"/>
  <c r="F239"/>
  <c r="U239"/>
  <c r="N237"/>
  <c r="F98"/>
  <c r="N96"/>
  <c r="N95"/>
  <c r="N88"/>
  <c r="F79"/>
  <c r="N73"/>
  <c r="F200"/>
  <c r="U200"/>
  <c r="F196"/>
  <c r="F194"/>
  <c r="F192"/>
  <c r="F190"/>
  <c r="U190"/>
  <c r="N188"/>
  <c r="N187"/>
  <c r="F184"/>
  <c r="N182"/>
  <c r="F177"/>
  <c r="U177"/>
  <c r="F175"/>
  <c r="F161"/>
  <c r="F159"/>
  <c r="U159"/>
  <c r="F157"/>
  <c r="U157"/>
  <c r="F154"/>
  <c r="F151"/>
  <c r="U151"/>
  <c r="N143"/>
  <c r="N228"/>
  <c r="F222"/>
  <c r="U222"/>
  <c r="F117"/>
  <c r="U117"/>
  <c r="F143" i="24"/>
  <c r="F114"/>
  <c r="D39"/>
  <c r="F90" i="23"/>
  <c r="U90"/>
  <c r="F75"/>
  <c r="N198"/>
  <c r="F186"/>
  <c r="U186"/>
  <c r="F164"/>
  <c r="N154"/>
  <c r="F149"/>
  <c r="F144"/>
  <c r="U144"/>
  <c r="F138"/>
  <c r="U138"/>
  <c r="F115"/>
  <c r="U115"/>
  <c r="F201"/>
  <c r="U201"/>
  <c r="F210"/>
  <c r="U210"/>
  <c r="F13"/>
  <c r="U13"/>
  <c r="C143" i="24"/>
  <c r="C154"/>
  <c r="F142"/>
  <c r="F14" i="23"/>
  <c r="U14"/>
  <c r="F238"/>
  <c r="U238"/>
  <c r="F236"/>
  <c r="U236"/>
  <c r="F112"/>
  <c r="U112"/>
  <c r="F109"/>
  <c r="U109"/>
  <c r="F106"/>
  <c r="U106"/>
  <c r="N97"/>
  <c r="F83"/>
  <c r="U83"/>
  <c r="N75"/>
  <c r="F72"/>
  <c r="N196"/>
  <c r="F195"/>
  <c r="U195"/>
  <c r="F191"/>
  <c r="U191"/>
  <c r="F189"/>
  <c r="U189"/>
  <c r="F185"/>
  <c r="U185"/>
  <c r="F183"/>
  <c r="U183"/>
  <c r="F181"/>
  <c r="U181"/>
  <c r="F178"/>
  <c r="U178"/>
  <c r="N176"/>
  <c r="F174"/>
  <c r="U174"/>
  <c r="N164"/>
  <c r="F160"/>
  <c r="F148"/>
  <c r="U148"/>
  <c r="F142"/>
  <c r="F149" i="24"/>
  <c r="N166" i="23"/>
  <c r="F231"/>
  <c r="F230"/>
  <c r="U230"/>
  <c r="F229"/>
  <c r="F227"/>
  <c r="U227"/>
  <c r="E46" i="14"/>
  <c r="E6" i="3"/>
  <c r="E71" i="14"/>
  <c r="F22" i="2"/>
  <c r="E37" i="19"/>
  <c r="E142" i="24"/>
  <c r="E141"/>
  <c r="E108"/>
  <c r="E154"/>
  <c r="E155" i="2"/>
  <c r="E175"/>
  <c r="E53" i="14"/>
  <c r="E32" i="24"/>
  <c r="F21" i="2"/>
  <c r="H44"/>
  <c r="H42"/>
  <c r="H177"/>
  <c r="H182"/>
  <c r="H180"/>
  <c r="H99"/>
  <c r="G102" i="24"/>
  <c r="F44" i="3"/>
  <c r="H7" i="24"/>
  <c r="H25" i="10"/>
  <c r="H33"/>
  <c r="C6" i="3"/>
  <c r="C71" i="14"/>
  <c r="F11" i="3"/>
  <c r="C54" i="2"/>
  <c r="Q7" i="9"/>
  <c r="M8"/>
  <c r="R418" i="23"/>
  <c r="N373"/>
  <c r="U373"/>
  <c r="U386"/>
  <c r="N386"/>
  <c r="N329"/>
  <c r="N348"/>
  <c r="U348"/>
  <c r="J49" i="10"/>
  <c r="E47"/>
  <c r="E46"/>
  <c r="D174" i="2"/>
  <c r="D51" i="14"/>
  <c r="F76" i="2"/>
  <c r="G7" i="24"/>
  <c r="E44" i="10"/>
  <c r="E43"/>
  <c r="F176" i="2"/>
  <c r="F54" i="14"/>
  <c r="N18" i="2"/>
  <c r="E15" i="24"/>
  <c r="E11"/>
  <c r="E44" i="2"/>
  <c r="E42"/>
  <c r="H11" i="24"/>
  <c r="F47" i="2"/>
  <c r="J158"/>
  <c r="J175"/>
  <c r="F175"/>
  <c r="F53" i="14"/>
  <c r="F159" i="2"/>
  <c r="N260" i="23"/>
  <c r="N342"/>
  <c r="D24" i="10"/>
  <c r="D32"/>
  <c r="D29"/>
  <c r="E25" i="24"/>
  <c r="I11"/>
  <c r="A52" i="23"/>
  <c r="A53"/>
  <c r="A51"/>
  <c r="F95" i="24"/>
  <c r="H11" i="10"/>
  <c r="U268" i="23"/>
  <c r="U258"/>
  <c r="U256"/>
  <c r="U263"/>
  <c r="U261"/>
  <c r="U276"/>
  <c r="U296"/>
  <c r="U313"/>
  <c r="U311"/>
  <c r="U309"/>
  <c r="U380"/>
  <c r="U107"/>
  <c r="U104"/>
  <c r="U245"/>
  <c r="U304"/>
  <c r="F202"/>
  <c r="F251"/>
  <c r="J118" i="24"/>
  <c r="F118"/>
  <c r="F51"/>
  <c r="G48"/>
  <c r="D106"/>
  <c r="U395" i="23"/>
  <c r="L13" i="10"/>
  <c r="U246" i="23"/>
  <c r="U266"/>
  <c r="F203"/>
  <c r="F214"/>
  <c r="U249"/>
  <c r="U257"/>
  <c r="U255"/>
  <c r="U262"/>
  <c r="U277"/>
  <c r="U297"/>
  <c r="U295"/>
  <c r="U312"/>
  <c r="U310"/>
  <c r="U308"/>
  <c r="U388"/>
  <c r="F110" i="24"/>
  <c r="U267" i="23"/>
  <c r="U244"/>
  <c r="U242"/>
  <c r="U108"/>
  <c r="U105"/>
  <c r="U100"/>
  <c r="G108" i="24"/>
  <c r="U102" i="23"/>
  <c r="H108" i="24"/>
  <c r="H154"/>
  <c r="U243" i="23"/>
  <c r="U103"/>
  <c r="F113"/>
  <c r="U113"/>
  <c r="F99"/>
  <c r="U99"/>
  <c r="N98"/>
  <c r="F97"/>
  <c r="U86"/>
  <c r="U84"/>
  <c r="U68"/>
  <c r="U65"/>
  <c r="U194"/>
  <c r="U169"/>
  <c r="U167"/>
  <c r="U146"/>
  <c r="U118"/>
  <c r="U69"/>
  <c r="U170"/>
  <c r="U153"/>
  <c r="U147"/>
  <c r="U141"/>
  <c r="U221"/>
  <c r="U220"/>
  <c r="U393"/>
  <c r="U91"/>
  <c r="F89"/>
  <c r="N89"/>
  <c r="U87"/>
  <c r="U85"/>
  <c r="U72"/>
  <c r="U66"/>
  <c r="U173"/>
  <c r="U162"/>
  <c r="U142"/>
  <c r="U394"/>
  <c r="F111"/>
  <c r="U111"/>
  <c r="F101"/>
  <c r="U101"/>
  <c r="F92"/>
  <c r="N92"/>
  <c r="U81"/>
  <c r="U78"/>
  <c r="U76"/>
  <c r="U74"/>
  <c r="U145"/>
  <c r="U229"/>
  <c r="U226"/>
  <c r="U114"/>
  <c r="N192"/>
  <c r="N184"/>
  <c r="N175"/>
  <c r="N171"/>
  <c r="N168"/>
  <c r="N155"/>
  <c r="N152"/>
  <c r="N234"/>
  <c r="N231"/>
  <c r="N225"/>
  <c r="U223"/>
  <c r="J7" i="24"/>
  <c r="J100" i="2"/>
  <c r="J99"/>
  <c r="I7" i="24"/>
  <c r="F7"/>
  <c r="I100" i="2"/>
  <c r="U116" i="23"/>
  <c r="U59"/>
  <c r="O413"/>
  <c r="N217"/>
  <c r="N59"/>
  <c r="N259"/>
  <c r="N80"/>
  <c r="N205"/>
  <c r="F413"/>
  <c r="U325"/>
  <c r="U232"/>
  <c r="U79"/>
  <c r="U149"/>
  <c r="U193"/>
  <c r="U233"/>
  <c r="H46" i="9"/>
  <c r="G43"/>
  <c r="U160" i="23"/>
  <c r="U96"/>
  <c r="E24" i="19"/>
  <c r="E63" i="14"/>
  <c r="E21" i="24"/>
  <c r="F6" i="3"/>
  <c r="F71" i="14"/>
  <c r="E49"/>
  <c r="E186" i="2"/>
  <c r="E187"/>
  <c r="J177"/>
  <c r="J6" i="24"/>
  <c r="F7" i="2"/>
  <c r="I177"/>
  <c r="U413" i="23"/>
  <c r="R416"/>
  <c r="R417"/>
  <c r="R431"/>
  <c r="U166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L17" i="10"/>
  <c r="N17"/>
  <c r="N298" i="23"/>
  <c r="U298"/>
  <c r="U301"/>
  <c r="U88"/>
  <c r="U224"/>
  <c r="U73"/>
  <c r="U154"/>
  <c r="U188"/>
  <c r="U187"/>
  <c r="U156"/>
  <c r="N320"/>
  <c r="U320"/>
  <c r="U150"/>
  <c r="U198"/>
  <c r="U70"/>
  <c r="U161"/>
  <c r="U97"/>
  <c r="U196"/>
  <c r="L11" i="10"/>
  <c r="H27"/>
  <c r="D154" i="24"/>
  <c r="D159"/>
  <c r="D69" i="14"/>
  <c r="C41" i="2"/>
  <c r="C48" i="14"/>
  <c r="C177" i="2"/>
  <c r="E178"/>
  <c r="F182"/>
  <c r="I154" i="24"/>
  <c r="H56"/>
  <c r="H106"/>
  <c r="F57"/>
  <c r="J108"/>
  <c r="J154"/>
  <c r="F16"/>
  <c r="Y75" i="9"/>
  <c r="U228" i="23"/>
  <c r="U182"/>
  <c r="U75"/>
  <c r="U95"/>
  <c r="U164"/>
  <c r="U237"/>
  <c r="U327"/>
  <c r="U275"/>
  <c r="C158" i="24"/>
  <c r="C68" i="14"/>
  <c r="C159" i="24"/>
  <c r="C69" i="14"/>
  <c r="D63"/>
  <c r="D43" i="19"/>
  <c r="D65" i="14"/>
  <c r="U225" i="23"/>
  <c r="D177" i="2"/>
  <c r="D46" i="14"/>
  <c r="D41" i="2"/>
  <c r="E174"/>
  <c r="E51" i="14"/>
  <c r="R420" i="23"/>
  <c r="J20" i="10"/>
  <c r="J28"/>
  <c r="F411" i="23"/>
  <c r="R414"/>
  <c r="E75" i="14"/>
  <c r="E47"/>
  <c r="E41" i="2"/>
  <c r="U155" i="23"/>
  <c r="U89"/>
  <c r="F409"/>
  <c r="U175"/>
  <c r="Q414"/>
  <c r="Q12"/>
  <c r="Q431"/>
  <c r="U202"/>
  <c r="F410"/>
  <c r="U98"/>
  <c r="D158" i="24"/>
  <c r="G43" i="10"/>
  <c r="D43"/>
  <c r="H6" i="24"/>
  <c r="E177" i="2"/>
  <c r="G41" i="24"/>
  <c r="F48"/>
  <c r="F41"/>
  <c r="D25" i="10"/>
  <c r="D33"/>
  <c r="G11" i="24"/>
  <c r="F11"/>
  <c r="F12"/>
  <c r="C43" i="19"/>
  <c r="C65" i="14"/>
  <c r="C63"/>
  <c r="F44" i="2"/>
  <c r="I6" i="24"/>
  <c r="E6"/>
  <c r="E12" i="23"/>
  <c r="E414"/>
  <c r="I272"/>
  <c r="O272"/>
  <c r="N70"/>
  <c r="U231"/>
  <c r="O407"/>
  <c r="N407"/>
  <c r="O430"/>
  <c r="N214"/>
  <c r="N203"/>
  <c r="O410"/>
  <c r="N410"/>
  <c r="D22" i="10"/>
  <c r="D30"/>
  <c r="F122" i="2"/>
  <c r="F158"/>
  <c r="N123" i="9"/>
  <c r="N122"/>
  <c r="C49" i="14"/>
  <c r="C178" i="2"/>
  <c r="G46" i="10"/>
  <c r="D46"/>
  <c r="F180" i="2"/>
  <c r="U192" i="23"/>
  <c r="G154" i="24"/>
  <c r="N223" i="23"/>
  <c r="O409"/>
  <c r="U152"/>
  <c r="U171"/>
  <c r="U92"/>
  <c r="U234"/>
  <c r="U168"/>
  <c r="U184"/>
  <c r="U214"/>
  <c r="U203"/>
  <c r="U251"/>
  <c r="F430"/>
  <c r="F407"/>
  <c r="M7" i="9"/>
  <c r="M11"/>
  <c r="Q11"/>
  <c r="H23" i="10"/>
  <c r="H31"/>
  <c r="G101" i="24"/>
  <c r="F102"/>
  <c r="F42" i="2"/>
  <c r="T75" i="9"/>
  <c r="T74"/>
  <c r="Y74"/>
  <c r="I99" i="2"/>
  <c r="F99"/>
  <c r="F100"/>
  <c r="F108" i="24"/>
  <c r="X46" i="9"/>
  <c r="V46"/>
  <c r="G46"/>
  <c r="I412" i="23"/>
  <c r="I414"/>
  <c r="E43" i="19"/>
  <c r="E65" i="14"/>
  <c r="F46"/>
  <c r="F177" i="2"/>
  <c r="A249" i="23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245"/>
  <c r="A246"/>
  <c r="A247"/>
  <c r="A248"/>
  <c r="E39" i="24"/>
  <c r="E158"/>
  <c r="E68" i="14"/>
  <c r="C153" i="2"/>
  <c r="C166"/>
  <c r="F154" i="24"/>
  <c r="F6"/>
  <c r="Y123" i="9"/>
  <c r="Y122"/>
  <c r="U430" i="23"/>
  <c r="U410"/>
  <c r="U411"/>
  <c r="J62" i="2"/>
  <c r="U409" i="23"/>
  <c r="D48" i="14"/>
  <c r="D153" i="2"/>
  <c r="U407" i="23"/>
  <c r="J21" i="10"/>
  <c r="L20"/>
  <c r="J24"/>
  <c r="J32"/>
  <c r="N20"/>
  <c r="D49"/>
  <c r="D26"/>
  <c r="D34"/>
  <c r="N409" i="23"/>
  <c r="I12"/>
  <c r="I431"/>
  <c r="F272"/>
  <c r="F412"/>
  <c r="E431"/>
  <c r="E416"/>
  <c r="E419"/>
  <c r="E418"/>
  <c r="E417"/>
  <c r="G6" i="24"/>
  <c r="G49" i="10"/>
  <c r="L12" i="23"/>
  <c r="L431"/>
  <c r="D68" i="14"/>
  <c r="G156" i="24"/>
  <c r="G98"/>
  <c r="G56"/>
  <c r="F56"/>
  <c r="F101"/>
  <c r="N272" i="23"/>
  <c r="N412"/>
  <c r="E153" i="2"/>
  <c r="E48" i="14"/>
  <c r="G116" i="2"/>
  <c r="O12" i="23"/>
  <c r="O412"/>
  <c r="O414"/>
  <c r="N414"/>
  <c r="J63" i="2"/>
  <c r="E159" i="24"/>
  <c r="E69" i="14"/>
  <c r="A317" i="23"/>
  <c r="A318"/>
  <c r="C52" i="14"/>
  <c r="J25" i="10"/>
  <c r="J33"/>
  <c r="J29"/>
  <c r="N29"/>
  <c r="T123" i="9"/>
  <c r="T122"/>
  <c r="G62" i="2"/>
  <c r="I62"/>
  <c r="H62"/>
  <c r="E420" i="23"/>
  <c r="L21" i="10"/>
  <c r="N21"/>
  <c r="L24"/>
  <c r="N24"/>
  <c r="D52" i="14"/>
  <c r="D166" i="2"/>
  <c r="N28" i="10"/>
  <c r="L28"/>
  <c r="F98" i="24"/>
  <c r="G106"/>
  <c r="F106"/>
  <c r="F156"/>
  <c r="F67" i="14"/>
  <c r="A386" i="23"/>
  <c r="A387"/>
  <c r="A388"/>
  <c r="A389"/>
  <c r="A390"/>
  <c r="A391"/>
  <c r="A392"/>
  <c r="A393"/>
  <c r="A394"/>
  <c r="F414"/>
  <c r="F12"/>
  <c r="U272"/>
  <c r="C169" i="2"/>
  <c r="C55" i="14"/>
  <c r="T420" i="23"/>
  <c r="E166" i="2"/>
  <c r="E52" i="14"/>
  <c r="D23" i="10"/>
  <c r="D31"/>
  <c r="H117" i="2"/>
  <c r="H115"/>
  <c r="H109"/>
  <c r="H174"/>
  <c r="G117"/>
  <c r="F116"/>
  <c r="I117"/>
  <c r="I115"/>
  <c r="I109"/>
  <c r="I174"/>
  <c r="J117"/>
  <c r="J115"/>
  <c r="J109"/>
  <c r="J174"/>
  <c r="G18"/>
  <c r="G19"/>
  <c r="G14"/>
  <c r="H18"/>
  <c r="T418" i="23"/>
  <c r="I18" i="2"/>
  <c r="N25" i="10"/>
  <c r="O416" i="23"/>
  <c r="O417"/>
  <c r="O418"/>
  <c r="O431"/>
  <c r="O419"/>
  <c r="J54" i="2"/>
  <c r="H63"/>
  <c r="I63"/>
  <c r="G63"/>
  <c r="G54"/>
  <c r="F62"/>
  <c r="U12" i="23"/>
  <c r="U412"/>
  <c r="U414"/>
  <c r="T417"/>
  <c r="T416"/>
  <c r="L25" i="10"/>
  <c r="T419" i="23"/>
  <c r="L29" i="10"/>
  <c r="D55" i="14"/>
  <c r="D169" i="2"/>
  <c r="L32" i="10"/>
  <c r="N32"/>
  <c r="F419" i="23"/>
  <c r="F431"/>
  <c r="F418"/>
  <c r="F417"/>
  <c r="F416"/>
  <c r="E169" i="2"/>
  <c r="E55" i="14"/>
  <c r="D8" i="11"/>
  <c r="C58" i="14"/>
  <c r="C57"/>
  <c r="C170" i="2"/>
  <c r="D7" i="11"/>
  <c r="C73" i="14"/>
  <c r="N33" i="10"/>
  <c r="L33"/>
  <c r="F117" i="2"/>
  <c r="G115"/>
  <c r="G41"/>
  <c r="H19"/>
  <c r="H14"/>
  <c r="I19"/>
  <c r="I14"/>
  <c r="I41"/>
  <c r="F18"/>
  <c r="J19"/>
  <c r="J14"/>
  <c r="J41"/>
  <c r="O420" i="23"/>
  <c r="I54" i="2"/>
  <c r="H54"/>
  <c r="F63"/>
  <c r="F420" i="23"/>
  <c r="E8" i="11"/>
  <c r="D58" i="14"/>
  <c r="E7" i="11"/>
  <c r="D73" i="14"/>
  <c r="D57"/>
  <c r="D171" i="2"/>
  <c r="D16" i="19"/>
  <c r="J19" i="10"/>
  <c r="J27"/>
  <c r="U431" i="23"/>
  <c r="V12"/>
  <c r="W12"/>
  <c r="F7" i="11"/>
  <c r="E73" i="14"/>
  <c r="E16" i="19"/>
  <c r="F8"/>
  <c r="G8"/>
  <c r="E171" i="2"/>
  <c r="F8" i="11"/>
  <c r="E58" i="14"/>
  <c r="E57"/>
  <c r="Z420" i="23"/>
  <c r="G109" i="2"/>
  <c r="F115"/>
  <c r="F19"/>
  <c r="H41"/>
  <c r="F14"/>
  <c r="F54"/>
  <c r="F49" i="14"/>
  <c r="G93" i="2"/>
  <c r="Z416" i="23"/>
  <c r="S416"/>
  <c r="Z417"/>
  <c r="S417"/>
  <c r="Z418"/>
  <c r="S418"/>
  <c r="Z419"/>
  <c r="S419"/>
  <c r="J22" i="10"/>
  <c r="J30"/>
  <c r="N19"/>
  <c r="L19"/>
  <c r="G174" i="2"/>
  <c r="F174"/>
  <c r="F51" i="14"/>
  <c r="F109" i="2"/>
  <c r="G12" i="11"/>
  <c r="F75" i="14"/>
  <c r="F47"/>
  <c r="F41" i="2"/>
  <c r="F48" i="14"/>
  <c r="I94" i="2"/>
  <c r="I184"/>
  <c r="I183"/>
  <c r="J94"/>
  <c r="J184"/>
  <c r="J183"/>
  <c r="G94"/>
  <c r="G92"/>
  <c r="F93"/>
  <c r="G183"/>
  <c r="H94"/>
  <c r="H184"/>
  <c r="H183"/>
  <c r="L22" i="10"/>
  <c r="N22"/>
  <c r="J26"/>
  <c r="J34"/>
  <c r="L27"/>
  <c r="N27"/>
  <c r="J92" i="2"/>
  <c r="J153"/>
  <c r="J166"/>
  <c r="J169"/>
  <c r="J171"/>
  <c r="H92"/>
  <c r="H178"/>
  <c r="G153"/>
  <c r="G178"/>
  <c r="J42" i="19"/>
  <c r="J33" i="24"/>
  <c r="J32"/>
  <c r="H42" i="19"/>
  <c r="H33" i="24"/>
  <c r="H32"/>
  <c r="F94" i="2"/>
  <c r="G184"/>
  <c r="G186"/>
  <c r="I28" i="19"/>
  <c r="I29" i="24"/>
  <c r="I33" i="19"/>
  <c r="F183" i="2"/>
  <c r="G28" i="19"/>
  <c r="G33"/>
  <c r="J28"/>
  <c r="J29" i="24"/>
  <c r="J33" i="19"/>
  <c r="I92" i="2"/>
  <c r="H33" i="19"/>
  <c r="H28"/>
  <c r="H29" i="24"/>
  <c r="I33"/>
  <c r="I32"/>
  <c r="I42" i="19"/>
  <c r="L26" i="10"/>
  <c r="N26"/>
  <c r="J23"/>
  <c r="J31"/>
  <c r="L30"/>
  <c r="N30"/>
  <c r="J186" i="2"/>
  <c r="J187"/>
  <c r="J178"/>
  <c r="H153"/>
  <c r="H166"/>
  <c r="H169"/>
  <c r="H171"/>
  <c r="H186"/>
  <c r="H187"/>
  <c r="I153"/>
  <c r="I166"/>
  <c r="I169"/>
  <c r="I171"/>
  <c r="I178"/>
  <c r="I186"/>
  <c r="I187"/>
  <c r="G187"/>
  <c r="I27" i="24"/>
  <c r="I32" i="19"/>
  <c r="I24"/>
  <c r="I43"/>
  <c r="G27" i="24"/>
  <c r="G32" i="19"/>
  <c r="G24"/>
  <c r="F33"/>
  <c r="G29" i="24"/>
  <c r="F29"/>
  <c r="F28" i="19"/>
  <c r="G33" i="24"/>
  <c r="G42" i="19"/>
  <c r="F42"/>
  <c r="F64" i="14"/>
  <c r="F184" i="2"/>
  <c r="G166"/>
  <c r="G169"/>
  <c r="J32" i="19"/>
  <c r="J24"/>
  <c r="J43"/>
  <c r="J27" i="24"/>
  <c r="H32" i="19"/>
  <c r="H24"/>
  <c r="H43"/>
  <c r="H27" i="24"/>
  <c r="F92" i="2"/>
  <c r="F50" i="14"/>
  <c r="L23" i="10"/>
  <c r="N23"/>
  <c r="L34"/>
  <c r="N34"/>
  <c r="F178" i="2"/>
  <c r="F187"/>
  <c r="F186"/>
  <c r="H25" i="24"/>
  <c r="H23"/>
  <c r="G16" i="19"/>
  <c r="H8"/>
  <c r="H16"/>
  <c r="I8"/>
  <c r="I16"/>
  <c r="J8"/>
  <c r="J16"/>
  <c r="G171" i="2"/>
  <c r="F171"/>
  <c r="F169"/>
  <c r="F32" i="19"/>
  <c r="I25" i="24"/>
  <c r="I23"/>
  <c r="F27"/>
  <c r="G23"/>
  <c r="G25"/>
  <c r="J25"/>
  <c r="J23"/>
  <c r="F153" i="2"/>
  <c r="G32" i="24"/>
  <c r="F32"/>
  <c r="F33"/>
  <c r="F24" i="19"/>
  <c r="F63" i="14"/>
  <c r="G43" i="19"/>
  <c r="F43"/>
  <c r="F65" i="14"/>
  <c r="L31" i="10"/>
  <c r="N31"/>
  <c r="F25" i="24"/>
  <c r="H21"/>
  <c r="H39"/>
  <c r="H159"/>
  <c r="F166" i="2"/>
  <c r="F55" i="14"/>
  <c r="F52"/>
  <c r="I21" i="24"/>
  <c r="I39"/>
  <c r="I159"/>
  <c r="G21"/>
  <c r="F23"/>
  <c r="J21"/>
  <c r="J39"/>
  <c r="J159"/>
  <c r="F57" i="14"/>
  <c r="F16" i="19"/>
  <c r="G8" i="11"/>
  <c r="F58" i="14"/>
  <c r="G7" i="11"/>
  <c r="F73" i="14"/>
  <c r="G39" i="24"/>
  <c r="F21"/>
  <c r="F39"/>
  <c r="G158"/>
  <c r="H156"/>
  <c r="H158"/>
  <c r="I156"/>
  <c r="I158"/>
  <c r="J156"/>
  <c r="J158"/>
  <c r="F158"/>
  <c r="F68" i="14"/>
  <c r="G159" i="24"/>
  <c r="F159"/>
  <c r="F69" i="14"/>
</calcChain>
</file>

<file path=xl/comments1.xml><?xml version="1.0" encoding="utf-8"?>
<comments xmlns="http://schemas.openxmlformats.org/spreadsheetml/2006/main">
  <authors>
    <author>Люда</author>
  </authors>
  <commentList>
    <comment ref="C85" authorId="0">
      <text>
        <r>
          <rPr>
            <b/>
            <sz val="9"/>
            <color indexed="81"/>
            <rFont val="Tahoma"/>
            <family val="2"/>
            <charset val="204"/>
          </rPr>
          <t>Люда: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8"/>
            <color indexed="81"/>
            <rFont val="Tahoma"/>
            <family val="2"/>
            <charset val="204"/>
          </rPr>
          <t>мінус ПММ, МШП,ел.ен.</t>
        </r>
      </text>
    </comment>
    <comment ref="E85" authorId="0">
      <text>
        <r>
          <rPr>
            <b/>
            <sz val="9"/>
            <color indexed="81"/>
            <rFont val="Tahoma"/>
            <family val="2"/>
            <charset val="204"/>
          </rPr>
          <t>Люда: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8"/>
            <color indexed="81"/>
            <rFont val="Tahoma"/>
            <family val="2"/>
            <charset val="204"/>
          </rPr>
          <t>мінус ПММ, МШП,ел.ен.</t>
        </r>
      </text>
    </comment>
    <comment ref="G121" authorId="0">
      <text>
        <r>
          <rPr>
            <b/>
            <sz val="9"/>
            <color indexed="81"/>
            <rFont val="Tahoma"/>
            <family val="2"/>
            <charset val="204"/>
          </rPr>
          <t>Люда: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з доходів інших операційних від реалізації запасів</t>
        </r>
      </text>
    </comment>
    <comment ref="G127" authorId="0">
      <text>
        <r>
          <rPr>
            <b/>
            <sz val="9"/>
            <color indexed="81"/>
            <rFont val="Tahoma"/>
            <family val="2"/>
            <charset val="204"/>
          </rPr>
          <t>Люда: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з інших операційних доходів</t>
        </r>
      </text>
    </comment>
  </commentList>
</comments>
</file>

<file path=xl/comments2.xml><?xml version="1.0" encoding="utf-8"?>
<comments xmlns="http://schemas.openxmlformats.org/spreadsheetml/2006/main">
  <authors>
    <author>Люда</author>
  </authors>
  <commentList>
    <comment ref="E42" authorId="0">
      <text>
        <r>
          <rPr>
            <b/>
            <sz val="9"/>
            <color indexed="81"/>
            <rFont val="Tahoma"/>
            <family val="2"/>
            <charset val="204"/>
          </rPr>
          <t>Люда:</t>
        </r>
        <r>
          <rPr>
            <sz val="9"/>
            <color indexed="81"/>
            <rFont val="Tahoma"/>
            <family val="2"/>
            <charset val="204"/>
          </rPr>
          <t xml:space="preserve">
37,87 
з фін рез</t>
        </r>
      </text>
    </comment>
    <comment ref="G42" authorId="0">
      <text>
        <r>
          <rPr>
            <b/>
            <sz val="9"/>
            <color indexed="81"/>
            <rFont val="Tahoma"/>
            <family val="2"/>
            <charset val="204"/>
          </rPr>
          <t>Люда:</t>
        </r>
        <r>
          <rPr>
            <sz val="9"/>
            <color indexed="81"/>
            <rFont val="Tahoma"/>
            <family val="2"/>
            <charset val="204"/>
          </rPr>
          <t xml:space="preserve">
37,87 
з фін рез</t>
        </r>
      </text>
    </comment>
  </commentList>
</comments>
</file>

<file path=xl/comments3.xml><?xml version="1.0" encoding="utf-8"?>
<comments xmlns="http://schemas.openxmlformats.org/spreadsheetml/2006/main">
  <authors>
    <author>Люда</author>
  </authors>
  <commentList>
    <comment ref="A23" authorId="0">
      <text>
        <r>
          <rPr>
            <b/>
            <sz val="9"/>
            <color indexed="81"/>
            <rFont val="Tahoma"/>
            <family val="2"/>
            <charset val="204"/>
          </rPr>
          <t>Люда:</t>
        </r>
        <r>
          <rPr>
            <sz val="9"/>
            <color indexed="81"/>
            <rFont val="Tahoma"/>
            <family val="2"/>
            <charset val="204"/>
          </rPr>
          <t xml:space="preserve">
мінус ПДФО, військовий збір</t>
        </r>
      </text>
    </comment>
  </commentList>
</comments>
</file>

<file path=xl/comments4.xml><?xml version="1.0" encoding="utf-8"?>
<comments xmlns="http://schemas.openxmlformats.org/spreadsheetml/2006/main">
  <authors>
    <author>Люда</author>
    <author>Asus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Люда: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8"/>
            <color indexed="81"/>
            <rFont val="Tahoma"/>
            <family val="2"/>
            <charset val="204"/>
          </rPr>
          <t>0,045 - коеф. додатк зп</t>
        </r>
      </text>
    </comment>
    <comment ref="E117" authorId="1">
      <text>
        <r>
          <rPr>
            <b/>
            <sz val="9"/>
            <color indexed="81"/>
            <rFont val="Tahoma"/>
            <family val="2"/>
            <charset val="204"/>
          </rPr>
          <t>Asus:</t>
        </r>
        <r>
          <rPr>
            <sz val="9"/>
            <color indexed="81"/>
            <rFont val="Tahoma"/>
            <family val="2"/>
            <charset val="204"/>
          </rPr>
          <t xml:space="preserve">
6 месяцев</t>
        </r>
      </text>
    </comment>
    <comment ref="E118" authorId="1">
      <text>
        <r>
          <rPr>
            <b/>
            <sz val="9"/>
            <color indexed="81"/>
            <rFont val="Tahoma"/>
            <family val="2"/>
            <charset val="204"/>
          </rPr>
          <t>Asus:</t>
        </r>
        <r>
          <rPr>
            <sz val="9"/>
            <color indexed="81"/>
            <rFont val="Tahoma"/>
            <family val="2"/>
            <charset val="204"/>
          </rPr>
          <t xml:space="preserve">
6 месяцев</t>
        </r>
      </text>
    </comment>
    <comment ref="C272" authorId="0">
      <text>
        <r>
          <rPr>
            <b/>
            <sz val="9"/>
            <color indexed="81"/>
            <rFont val="Tahoma"/>
            <family val="2"/>
            <charset val="204"/>
          </rPr>
          <t>Люда: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+21 на повірку лічильників</t>
        </r>
      </text>
    </comment>
  </commentList>
</comments>
</file>

<file path=xl/comments5.xml><?xml version="1.0" encoding="utf-8"?>
<comments xmlns="http://schemas.openxmlformats.org/spreadsheetml/2006/main">
  <authors>
    <author>Люда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Люда:</t>
        </r>
        <r>
          <rPr>
            <sz val="9"/>
            <color indexed="81"/>
            <rFont val="Tahoma"/>
            <family val="2"/>
            <charset val="204"/>
          </rPr>
          <t xml:space="preserve">
баланс р. 1615 ст. 4</t>
        </r>
      </text>
    </commen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>Люда: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баланс р. 1125 ст. 4</t>
        </r>
      </text>
    </comment>
  </commentList>
</comments>
</file>

<file path=xl/sharedStrings.xml><?xml version="1.0" encoding="utf-8"?>
<sst xmlns="http://schemas.openxmlformats.org/spreadsheetml/2006/main" count="2028" uniqueCount="1396">
  <si>
    <t>Слюсар-ремонтник 5р (8%)</t>
  </si>
  <si>
    <t>Електромонтер з ремонту та обсл.електроуст. 5р (8%)сезон</t>
  </si>
  <si>
    <t>Слюсар-ремонтник 5р (4%)сезон</t>
  </si>
  <si>
    <t>Слюсар-ремонтник 4р (4%)сезон</t>
  </si>
  <si>
    <t>Слюсар-ремонтник 4р (4%) сезон</t>
  </si>
  <si>
    <t>Двірник 2р (сезон)</t>
  </si>
  <si>
    <t>Начальник лабораторії</t>
  </si>
  <si>
    <t>Інженер з охор.навк.середов.ІІкат.</t>
  </si>
  <si>
    <t>Налагоджув.контр-вим.приладів та автом. 6р</t>
  </si>
  <si>
    <t>Інженер-лаборант (хімік) І кат.</t>
  </si>
  <si>
    <t>Інженер-лаборант (хіміко-технологічн.аналізу) І кат.</t>
  </si>
  <si>
    <t>Інженер-лаборант (хромато-спектрометричного аналізу) ІІ кат.</t>
  </si>
  <si>
    <t>Лаборант спектрального аналізу 6р</t>
  </si>
  <si>
    <t>Лаборант хімічного аналізу 4р</t>
  </si>
  <si>
    <t>Лаборант хіміко-бактеріологічн.аналізу 3р</t>
  </si>
  <si>
    <t>Пробовідбірник 2р</t>
  </si>
  <si>
    <t>Інженер-лаборант (бактеріолог) ІІ кат.</t>
  </si>
  <si>
    <t>Інженер-лаборант (біолог)</t>
  </si>
  <si>
    <t>Лаборант-мікробіолог 5р</t>
  </si>
  <si>
    <t>Лаборант (біологічні дослідження) 5р</t>
  </si>
  <si>
    <t>Прибиральник службових приміщень 2р</t>
  </si>
  <si>
    <t>Інженер-лаборант (радіолог) ІІ кат.</t>
  </si>
  <si>
    <t>Начальник цеху експлуатації  водопровідних мереж</t>
  </si>
  <si>
    <t>Сестра медична</t>
  </si>
  <si>
    <t>Майстер виробничої дільниці (4%)</t>
  </si>
  <si>
    <t>Слюсар аварійно- відбудовних робіт 5р (8%)</t>
  </si>
  <si>
    <t>Слюсар аварійно- відбудовних робіт 4р(8%)</t>
  </si>
  <si>
    <t>Слюсар аварійно- відбудовних робіт 3р(8%)</t>
  </si>
  <si>
    <t>Обхідник водопровідної мережі 2р</t>
  </si>
  <si>
    <t>Обхідник водопровідної мережі 3р</t>
  </si>
  <si>
    <t>Обхідник водопровідної мережі 4р</t>
  </si>
  <si>
    <t>Монтажник зовн.трубопроводів 6р (8%)</t>
  </si>
  <si>
    <t>Монтажник зовн.трубопроводів 5р (8%)</t>
  </si>
  <si>
    <t>Монтажник зовн.трубопроводів 4р (8%)</t>
  </si>
  <si>
    <t>Електрогазозварник 6р. (12%)</t>
  </si>
  <si>
    <t>Начальник ОСК- 1 (12%)</t>
  </si>
  <si>
    <t>Механік цеху (12%)</t>
  </si>
  <si>
    <t>Інженер-технолог (12%)</t>
  </si>
  <si>
    <t>Інженер-технолог ІІ кат. (12%)</t>
  </si>
  <si>
    <t>Інженер-технолог І кат. (12%)</t>
  </si>
  <si>
    <t>Оператор по решітці  3р (12%)</t>
  </si>
  <si>
    <t>Оператор на відстійниках(первинних) 2р (12%)</t>
  </si>
  <si>
    <t>Оператор на відстійниках(вторинних) 2р (12%)</t>
  </si>
  <si>
    <t>Оператор на аеротенках 3р (12%)</t>
  </si>
  <si>
    <t>Машиніст насосних установок (станції сирого осаду) 2р (12%)</t>
  </si>
  <si>
    <t>Машиніст насосних установок (станції по перекачці мулу БТЕ) 3р (12%)</t>
  </si>
  <si>
    <t>Машиніст насосних установок (на пісколовках) 3р (12%)</t>
  </si>
  <si>
    <t>Оператори на відстійниках (контактних резервуарів) 3р (12%)</t>
  </si>
  <si>
    <t>Машиніст компресувальних устан. 4р (12%)</t>
  </si>
  <si>
    <t>Машиніст компресувальних устан. 3р (12%)</t>
  </si>
  <si>
    <t>Оператор установок для зневодн.осаду 5р (12%)</t>
  </si>
  <si>
    <t>Машиніст насосних установок (зневодн.осаду) 2р (12%)</t>
  </si>
  <si>
    <t>Оператор на відстійниках (по усереднювачу) 3р (12%)</t>
  </si>
  <si>
    <t>Оператор на пісколовках 2р (12%)</t>
  </si>
  <si>
    <t>Оператор на мулових майданчиках 2р(12%)</t>
  </si>
  <si>
    <t>Машиніст (кочегар) котельні 2р. 8%</t>
  </si>
  <si>
    <t>Оператор котельні 3р</t>
  </si>
  <si>
    <t>Електромонтер по обсл.електрообл. 6р (12%)</t>
  </si>
  <si>
    <t>Електромонтер по обсл.електрообл. 5р (12%)</t>
  </si>
  <si>
    <t>Електромонтер по обсл.електрообл. 4р (12%)</t>
  </si>
  <si>
    <t>Слюсар-ремонтник 4р (12%)</t>
  </si>
  <si>
    <t>Електрогазозварювальник 4р (12%)</t>
  </si>
  <si>
    <t>Тесляр 4р (12%)</t>
  </si>
  <si>
    <t>Слюсар-монтажник насосів та зовн.трубопроводів 4р (12%)</t>
  </si>
  <si>
    <t>Двірник 1р (4%)</t>
  </si>
  <si>
    <t>Прибиральник служб.приміщень 2р (4%)</t>
  </si>
  <si>
    <t>Токар 5р</t>
  </si>
  <si>
    <t>Начальник цеху ОСК — 2 (12%)</t>
  </si>
  <si>
    <t>Оператор на решітці 2р (12%)</t>
  </si>
  <si>
    <t>Оператор на пісколовках  2р (12%)</t>
  </si>
  <si>
    <t>Оператор на відстійниках 2р (12%)</t>
  </si>
  <si>
    <t>Оператор на аеротенках 2р (12%)</t>
  </si>
  <si>
    <t>Машиніст компресорних установок 4р (12%)</t>
  </si>
  <si>
    <t>Машиніст насосних установок (мулової НС) 2р (12%)</t>
  </si>
  <si>
    <t>Електрогазозварник 4р  (12%)</t>
  </si>
  <si>
    <t>Електромонтер з ремонту та обсл.електроуст. 6р (12%)</t>
  </si>
  <si>
    <t>Електромонтер з ремонту та обсл.електроуст. 5р (12%)</t>
  </si>
  <si>
    <t>Оператор котельної  2р (4%)</t>
  </si>
  <si>
    <t>Оператор на мулових майданчиках 2р (12%)</t>
  </si>
  <si>
    <t>Оператор очисних споруд “Рекорд” 2р (12%)</t>
  </si>
  <si>
    <t>Начальник лабораторії (12%)</t>
  </si>
  <si>
    <t>Інженер з охорони навкол.середов.(12%)</t>
  </si>
  <si>
    <t>Інженер-лаборант (хімік) ІІ кат. (12%)</t>
  </si>
  <si>
    <t>Лаборант хім.аналізу (по визнач.СПАР та нафтопродуктів) 5р (12%)</t>
  </si>
  <si>
    <t>Лаборант спектрального аналізу 6р(12%)</t>
  </si>
  <si>
    <t>Лаборант хімічного аналізу 5р (12%)</t>
  </si>
  <si>
    <t>Лаборант хімічного аналізу 4р (12%)</t>
  </si>
  <si>
    <t>Лаборант хімічного аналізу 3р (12%)</t>
  </si>
  <si>
    <t>Пробовідбірник 2р (12%)</t>
  </si>
  <si>
    <t>Інженер-лаборант (гідробіолог) ІІ к (12%)</t>
  </si>
  <si>
    <t>Лаборант (біологічні дослідження) 4р (12%)</t>
  </si>
  <si>
    <t>Інженер-лаборант (мікробіолог) (12%)</t>
  </si>
  <si>
    <t>Прибиральник службових приміщень 2р (4%)</t>
  </si>
  <si>
    <t>Лаборант спектрального аналізу 6р (12%)</t>
  </si>
  <si>
    <t>Начальник цеху КНС (8%)</t>
  </si>
  <si>
    <t>Начальник дільниці (ГКНС) (8%)</t>
  </si>
  <si>
    <t>Майстер виробничої дільниці (8%)</t>
  </si>
  <si>
    <t>Машиніст насосних  установок 3р (8%)</t>
  </si>
  <si>
    <t>Машиніст насосних  установок 2р (8%)</t>
  </si>
  <si>
    <t>Машиніст насосних  установок 2р (12%)</t>
  </si>
  <si>
    <t>Оператор на решітці  2р (12%)</t>
  </si>
  <si>
    <t>Електромонтер з ремонту та обсл.електроустатк.  6р (8%)</t>
  </si>
  <si>
    <t>Електромонтер з ремонту та обсл.електроустатк.  5р (8%)</t>
  </si>
  <si>
    <t>Електромонтер з ремонту та обсл.електроустатк.  3р (8%)</t>
  </si>
  <si>
    <t>Слюсар-ремонтник 5р (12%)</t>
  </si>
  <si>
    <t>Слюсар-ремонтник 3р (12%)</t>
  </si>
  <si>
    <t>Прибиральник виробн.приміщень 2р</t>
  </si>
  <si>
    <t>Начальник цеху з експлуатації каналалізаційних мереж (8%)</t>
  </si>
  <si>
    <t>Майстер виробн.дільниці (8%)</t>
  </si>
  <si>
    <t>Слюсар аварійно- відновлювальних робіт 5р (12%)</t>
  </si>
  <si>
    <t>Слюсар аварійно- відновлювальних робіт 4р (12%)</t>
  </si>
  <si>
    <t>Слюсар аварійно- відновлювальних робіт 3р (12%)</t>
  </si>
  <si>
    <t>Обхідник водопровідно-каналізаційної мережі 4р</t>
  </si>
  <si>
    <t>Обхідник водопровідно-каналізаційної мережі 2р</t>
  </si>
  <si>
    <t>Обхідник водопровідно-каналізаційної мережі 3р</t>
  </si>
  <si>
    <t>Начальник відділу діагностики трубопров.мереж</t>
  </si>
  <si>
    <t>Інженер з науково-технічної інформації</t>
  </si>
  <si>
    <t>Слюсар аварійно-відновл. робіт 4р (8%)</t>
  </si>
  <si>
    <t>Слюсар аварійно-відновл. робіт 3р (8%)</t>
  </si>
  <si>
    <t>Начальник служби (АДС)</t>
  </si>
  <si>
    <t>Майстер виробн.дільниці (4%)</t>
  </si>
  <si>
    <t>Диспетчер АДС</t>
  </si>
  <si>
    <t>Слюсар аварійно-відновл. робіт 5р (8%)</t>
  </si>
  <si>
    <t>Начальник служби інспекції водн.ресурсів</t>
  </si>
  <si>
    <t>Інженер ІІ кат</t>
  </si>
  <si>
    <t>Інженер</t>
  </si>
  <si>
    <t>Майстер</t>
  </si>
  <si>
    <t>Електрозварник 5р (12%)</t>
  </si>
  <si>
    <t>Слюсар ремонтник 4р (8%)</t>
  </si>
  <si>
    <t>Начальник відділу збуту</t>
  </si>
  <si>
    <t>Бухгалтер ІІ кат.</t>
  </si>
  <si>
    <t>Економіст із збуту ІІ кат.</t>
  </si>
  <si>
    <t>Оператор комп'ютерн.набору 5р</t>
  </si>
  <si>
    <t>Контролер 3р</t>
  </si>
  <si>
    <t>Начальник служби обліку та реалізації води</t>
  </si>
  <si>
    <t>Майстер виробничої дільниці</t>
  </si>
  <si>
    <t>Контролер 4р</t>
  </si>
  <si>
    <t>Слюсар КВП та А по встановл. та заміні лічильників 4р (8%)</t>
  </si>
  <si>
    <t>Головний механік</t>
  </si>
  <si>
    <t xml:space="preserve">Механік </t>
  </si>
  <si>
    <t>Фрезувальник 5р</t>
  </si>
  <si>
    <t>Слюсар-ремонтник  4р</t>
  </si>
  <si>
    <t>Слюсар-ремонтник  5р</t>
  </si>
  <si>
    <t>Слюсар-ремонтник  4р (4%)</t>
  </si>
  <si>
    <t>Слюсар з ремонту та обслуг.перевант. машин 4р</t>
  </si>
  <si>
    <t>Слюсар з ремонту та обслуг.перевант. машин 5р</t>
  </si>
  <si>
    <t>Слюсар-ремонтник (наладчик) 6р (4%)</t>
  </si>
  <si>
    <t>Слюсар-ремонтник (ФН) 5р (4%)</t>
  </si>
  <si>
    <t>Слюсар з виготовлення вузлів та деталей сан-тех. систем 4р (4%)</t>
  </si>
  <si>
    <t>Коваль ручного кування 5р (20%)</t>
  </si>
  <si>
    <t>Слюсар з ремонту та обслуг.  сист. вентиляції та кондиц. 5р</t>
  </si>
  <si>
    <t>Маляр 5р</t>
  </si>
  <si>
    <t>Столяр 5р</t>
  </si>
  <si>
    <t>Прибиральник виробн. приміщень 2р</t>
  </si>
  <si>
    <t>Енергетик ІІ кат.</t>
  </si>
  <si>
    <t>Інженер-енергетик ІІ кат.</t>
  </si>
  <si>
    <t>Електромонтер з рем.і обсл.ел.устатк.  4р (8%)</t>
  </si>
  <si>
    <t>Електромонтер з рем.і обсл.ел.устатк. 5р (8%)</t>
  </si>
  <si>
    <t>Електромонтер з рем.і обсл.ел.устатк. 6р (8%)</t>
  </si>
  <si>
    <t>Підстанція “Тетерівка” Електромонтер з ремонту та обслуг.ел.устатк. 6р (8%)</t>
  </si>
  <si>
    <t>Началник дільниці</t>
  </si>
  <si>
    <t>Інженер-електронік ІІ кат.</t>
  </si>
  <si>
    <t>Системний адміністратор</t>
  </si>
  <si>
    <t>Слюсар КВП та А 6р (8%)</t>
  </si>
  <si>
    <t>Слюсар КВП та А 5р (8%)</t>
  </si>
  <si>
    <t>Акумуляторник 5р</t>
  </si>
  <si>
    <t>Начальник гаража</t>
  </si>
  <si>
    <t>Механік</t>
  </si>
  <si>
    <t>Диспетчер</t>
  </si>
  <si>
    <t>Технік з планування ІІ кат.</t>
  </si>
  <si>
    <t>Інженер з безпеки руху</t>
  </si>
  <si>
    <t>Водій автомобіляАВМ ГАЗ-52 фургон 2,5т</t>
  </si>
  <si>
    <t>Водій автомобіляАВМ ГАЗ-53 фургон 4,0т</t>
  </si>
  <si>
    <t>Водій автомобіля ГАЗ-33021 (Газель)1,5т</t>
  </si>
  <si>
    <t>Водій Opel Movano</t>
  </si>
  <si>
    <t>Водій Nissan Interstar</t>
  </si>
  <si>
    <t>Водій автомобіля ГАЗ-66 фургон 2,5т</t>
  </si>
  <si>
    <t>Водій автомобіля ГАЗ-4301 фургон 5,6т</t>
  </si>
  <si>
    <t>Водій автомобіля КО-503 ГАЗ-3307 асен.цистерна 4,0т</t>
  </si>
  <si>
    <t>Водій автомобіля КО-503 ГАЗ-53 асен.цистерна 4,0т</t>
  </si>
  <si>
    <t>Водій автомобіля  ГАЗ-3307 бортова 4,5т</t>
  </si>
  <si>
    <t xml:space="preserve">Водій автомобіля BMW-525 2,5л </t>
  </si>
  <si>
    <t>Водій автомобіля ВАЗ-21150 1,5л</t>
  </si>
  <si>
    <t>Водій автомобіля Opel combo 1,7л</t>
  </si>
  <si>
    <t>Водій автомобіля ГАЗ-3307 фургон 4,5т</t>
  </si>
  <si>
    <t>3440/1/8</t>
  </si>
  <si>
    <t>3440/1/9</t>
  </si>
  <si>
    <t>3440/1/10</t>
  </si>
  <si>
    <t>3440/1/11</t>
  </si>
  <si>
    <t>реконструкція водогону по вул.Якіра в Житомирі</t>
  </si>
  <si>
    <t>капітальний  ремонт контактного освітлювача №10 ВНС ІІ підйому</t>
  </si>
  <si>
    <t>3440/1/12</t>
  </si>
  <si>
    <t>3440/1/13</t>
  </si>
  <si>
    <t>реконструкція мереж водопроводу по вул.Михайлівській</t>
  </si>
  <si>
    <t>створення запасу матеріалів для стаьільної роботи в осінньо-зимовий період 2014-2015</t>
  </si>
  <si>
    <t>погашення заборгованості перед КП "Житомиртеплокомуненерго" ЖМР по опаленню, бойлерним</t>
  </si>
  <si>
    <t>3440/1/14</t>
  </si>
  <si>
    <t>розрахунки з ПАТ "ЕК "Житомиробленерго" за електроенергію</t>
  </si>
  <si>
    <t>придбання та монтаж приладів обліку каналіз.стоків на 24-х КНС</t>
  </si>
  <si>
    <t>субвенція на погашення заборгованості з різниці в тарифах</t>
  </si>
  <si>
    <r>
      <t>Придбання (створення) нематеріальних активів</t>
    </r>
    <r>
      <rPr>
        <i/>
        <sz val="13"/>
        <rFont val="Times New Roman"/>
        <family val="1"/>
        <charset val="204"/>
      </rPr>
      <t xml:space="preserve"> (розшифрувати) </t>
    </r>
  </si>
  <si>
    <t>Виручка від реалізації товарів, робіт, послуг</t>
  </si>
  <si>
    <t>ВНЕСКИ ДО СТАТУТНОГО КАПІТАЛУ</t>
  </si>
  <si>
    <t>ФОНД ОХОРОНИ НАВКОЛИШНЬОГО СЕРЕДОВИЩА</t>
  </si>
  <si>
    <t>для оплати частини чистого прибутку та податку на прибуток</t>
  </si>
  <si>
    <t>придбання матеріалів та відновлення благоустрою по вул. Східній</t>
  </si>
  <si>
    <t>реконструкція водогону по вул. Якіра</t>
  </si>
  <si>
    <t>капітальний ремонт контактного освітлювача №10 ВНС ІІ підйому</t>
  </si>
  <si>
    <t>будівництво господарсько-фекальної каналізації по вул. Західній згідно з проектом</t>
  </si>
  <si>
    <t>індексація заробітної плати</t>
  </si>
  <si>
    <t>проведення розрахунків з КП "Житомиртеплокомуненерго" за ел.ен.(бойлерні)</t>
  </si>
  <si>
    <t>3280/1</t>
  </si>
  <si>
    <t>3280/2</t>
  </si>
  <si>
    <t>3280/3</t>
  </si>
  <si>
    <t>3280/4</t>
  </si>
  <si>
    <t>3280/5</t>
  </si>
  <si>
    <t>3280/6</t>
  </si>
  <si>
    <t>3280/7</t>
  </si>
  <si>
    <t>3280/8</t>
  </si>
  <si>
    <t>3280/9</t>
  </si>
  <si>
    <t>3280/10</t>
  </si>
  <si>
    <t>3280/11</t>
  </si>
  <si>
    <t>3280/12</t>
  </si>
  <si>
    <t>по КП "Житомирводоканал" станом на 01.01.2016 року</t>
  </si>
  <si>
    <t>Балансова вартість
(тис.грн.) 
на 01.01.2016 р.</t>
  </si>
  <si>
    <t>Сума 
нарахованого зносу 
(тис.грн.)</t>
  </si>
  <si>
    <t>Залишкова вартість
(тис.грн.)
на 01.01.2016 р.</t>
  </si>
  <si>
    <t>Фактичний 
стан майна
(тис.грн.)</t>
  </si>
  <si>
    <t xml:space="preserve">Додаток 2 до пояснювальної записки до фінансового плану та фінансового звіту </t>
  </si>
  <si>
    <t>Інформація про претензійно-позовну роботу
комунального підприємства "Житомирводоканал"</t>
  </si>
  <si>
    <t>Сума кредиторської заборгованості</t>
  </si>
  <si>
    <t xml:space="preserve">Сума дебіторської заборгованості     </t>
  </si>
  <si>
    <t>Перебуває на виконанні у виконавчій службі</t>
  </si>
  <si>
    <t>1032/9</t>
  </si>
  <si>
    <t>реконструкція каналізаційного колектора по вул. Східній від майдану Згоди через перехрестя по вул. Київській</t>
  </si>
  <si>
    <t>доходи від виконання робіт (реконструкція каналізаційного колектора по вул. Східній від майдану Згоди через перехрестя по вул. Київській)</t>
  </si>
  <si>
    <t>витрати на виконання робіт (реконструкція каналізаційного колектора по вул. Східній від майдану Згоди через перехрестя по вул. Київській)</t>
  </si>
  <si>
    <t>3050/9</t>
  </si>
  <si>
    <t>4010/3</t>
  </si>
  <si>
    <t>будівництво госп.фек.канал. по вул.Західна в м.Житомир</t>
  </si>
  <si>
    <t>бюджет розвитку</t>
  </si>
  <si>
    <t>виготовлення проекту кошторисної документації на реконструкцію ОСК-1</t>
  </si>
  <si>
    <t>3260/2/2</t>
  </si>
  <si>
    <t>3260/2/2/1</t>
  </si>
  <si>
    <t>3260/2/2/2</t>
  </si>
  <si>
    <t>придбання інших об'єктів основних засобів</t>
  </si>
  <si>
    <t>3290/1</t>
  </si>
  <si>
    <t>3290/2</t>
  </si>
  <si>
    <t>3290/3</t>
  </si>
  <si>
    <t>3290/4</t>
  </si>
  <si>
    <r>
      <rPr>
        <sz val="11"/>
        <rFont val="Times New Roman"/>
        <family val="1"/>
        <charset val="204"/>
      </rPr>
      <t>доходи від виконання робіт</t>
    </r>
    <r>
      <rPr>
        <sz val="10"/>
        <rFont val="Times New Roman"/>
        <family val="1"/>
        <charset val="204"/>
      </rPr>
      <t xml:space="preserve"> (реконструкція каналізаційного колектора по вул. Східній від майдану Згоди через перехрестя по вул. Київській)</t>
    </r>
  </si>
  <si>
    <t>БЮДЖЕТ РОЗВИТКУ</t>
  </si>
  <si>
    <r>
      <t>реконструкція водогону по вул</t>
    </r>
    <r>
      <rPr>
        <sz val="10"/>
        <rFont val="Times New Roman"/>
        <family val="1"/>
        <charset val="204"/>
      </rPr>
      <t>. Михайлівській</t>
    </r>
  </si>
  <si>
    <r>
      <t xml:space="preserve">реконструкція водопроводу по </t>
    </r>
    <r>
      <rPr>
        <sz val="10"/>
        <rFont val="Times New Roman"/>
        <family val="1"/>
        <charset val="204"/>
      </rPr>
      <t>вул. Мануїльського</t>
    </r>
  </si>
  <si>
    <r>
      <t xml:space="preserve">модернізація насосного обладнання </t>
    </r>
    <r>
      <rPr>
        <sz val="10"/>
        <rFont val="Times New Roman"/>
        <family val="1"/>
        <charset val="204"/>
      </rPr>
      <t>на 24-х КНС</t>
    </r>
  </si>
  <si>
    <r>
      <t xml:space="preserve">Капітальні інвестиції, усього, </t>
    </r>
    <r>
      <rPr>
        <b/>
        <sz val="12"/>
        <rFont val="Times New Roman"/>
        <family val="1"/>
        <charset val="204"/>
      </rPr>
      <t>у тому числі:</t>
    </r>
  </si>
  <si>
    <t>ремонт в/мережі с. Лісове</t>
  </si>
  <si>
    <t>1085/35</t>
  </si>
  <si>
    <t>насос дозуючий</t>
  </si>
  <si>
    <t>3280/13</t>
  </si>
  <si>
    <t>насос SMC</t>
  </si>
  <si>
    <t>3280/14</t>
  </si>
  <si>
    <t>насоси фікальні</t>
  </si>
  <si>
    <t>3280/15</t>
  </si>
  <si>
    <t>водонагрівач</t>
  </si>
  <si>
    <t>3280/16</t>
  </si>
  <si>
    <t>вентилятор</t>
  </si>
  <si>
    <t>3280/17</t>
  </si>
  <si>
    <t>сервер для програми 1С Бухгалтерія</t>
  </si>
  <si>
    <t>3280/18</t>
  </si>
  <si>
    <t>безперебійник</t>
  </si>
  <si>
    <t>3280/19</t>
  </si>
  <si>
    <t>мотопомпа бензинова</t>
  </si>
  <si>
    <t>3280/20</t>
  </si>
  <si>
    <t>телемеханіка мікро-граніт</t>
  </si>
  <si>
    <t>3280/21</t>
  </si>
  <si>
    <t>касовий апарат</t>
  </si>
  <si>
    <t>3280/22</t>
  </si>
  <si>
    <t>кондиціонер</t>
  </si>
  <si>
    <t>3280/23</t>
  </si>
  <si>
    <t>ваги електричні</t>
  </si>
  <si>
    <t>3280/24</t>
  </si>
  <si>
    <t>молоток відбойний</t>
  </si>
  <si>
    <t>3280/25</t>
  </si>
  <si>
    <t>плита Індезіт</t>
  </si>
  <si>
    <t>3280/26</t>
  </si>
  <si>
    <t>насос</t>
  </si>
  <si>
    <t>3280/27</t>
  </si>
  <si>
    <t>генератор бензиновий</t>
  </si>
  <si>
    <t>3280/28</t>
  </si>
  <si>
    <t>насосна станція</t>
  </si>
  <si>
    <t>3280/29</t>
  </si>
  <si>
    <t>бензопила</t>
  </si>
  <si>
    <t>3280/30</t>
  </si>
  <si>
    <t>мотоножниці</t>
  </si>
  <si>
    <t>3280/31</t>
  </si>
  <si>
    <t>мотокоса</t>
  </si>
  <si>
    <t>3280/32</t>
  </si>
  <si>
    <t>3300/1</t>
  </si>
  <si>
    <t>відновлення асфальтного покриття</t>
  </si>
  <si>
    <t>3440/1/15</t>
  </si>
  <si>
    <t>3440/1/16</t>
  </si>
  <si>
    <t>3440/1/17</t>
  </si>
  <si>
    <t>3440/1/18</t>
  </si>
  <si>
    <t>будівництво водопр.мереж с .Лісове</t>
  </si>
  <si>
    <t>3440/1/19</t>
  </si>
  <si>
    <t>реконструкція скидного каналіз. колектора</t>
  </si>
  <si>
    <t>Розрахунок фонду оплати праці на плановий 2017 рік</t>
  </si>
  <si>
    <t>Плановий 2017 рік</t>
  </si>
  <si>
    <t>Тариф на централізоване водопостачання та водовідведення *</t>
  </si>
  <si>
    <t>Тариф на послуги з централізованого постачання холодної води, водовідведення (з використанням внутрішньобудинкових систем) *</t>
  </si>
  <si>
    <t>* Примітка. Проект постанови НКРЕКП "Про встановлення тарифів…", схвалений на засіданні НКРЕКП 13 червня 2016 року.</t>
  </si>
  <si>
    <t>чистий дохід  від реалізації продукції (товарів, робіт, послуг), тис. гривень</t>
  </si>
  <si>
    <t>чистий дохід  від реалізації продукції (товарів, робіт, послуг), тис.грн</t>
  </si>
  <si>
    <t>до фінансового плану на 2017 рік</t>
  </si>
  <si>
    <t>Оператор на решітці 3р (12%)</t>
  </si>
  <si>
    <t>Нікітін А.М.</t>
  </si>
  <si>
    <t>А.М.Нікітін</t>
  </si>
  <si>
    <t>В.М. Колесник</t>
  </si>
  <si>
    <t xml:space="preserve">станом на 01 квітня 2016 р. </t>
  </si>
  <si>
    <t>172*</t>
  </si>
  <si>
    <t>* У зв'язку зі значним підвищенням судового збору при зверненні до суду (за видачу судового наказу - 609 грн., позову - 1218 грн.) з 01.09.15р. Також пред'явлено претензій 172 на суму 364527 грн.</t>
  </si>
  <si>
    <t>розстрочка виконання рішення суду до 01.07.2016р.</t>
  </si>
  <si>
    <t>лічильник води</t>
  </si>
  <si>
    <t>обчисл.вим.компл.</t>
  </si>
  <si>
    <t>4020/13</t>
  </si>
  <si>
    <t>4020/14</t>
  </si>
  <si>
    <t>електропривод</t>
  </si>
  <si>
    <t>4020/15</t>
  </si>
  <si>
    <t>4020/16</t>
  </si>
  <si>
    <t>4060/11</t>
  </si>
  <si>
    <t>ремонт ел.двигуна</t>
  </si>
  <si>
    <t>А.М. Нікітін</t>
  </si>
  <si>
    <t>885 чол.</t>
  </si>
  <si>
    <t>ФІНАНСОВИЙ ПЛАН ПІДПРИЄМСТВА НА 2017 рік</t>
  </si>
  <si>
    <r>
      <t xml:space="preserve">Придбання (створення) основних засобів, в тому числі за рахунок внесків до статутного капіталу </t>
    </r>
    <r>
      <rPr>
        <i/>
        <sz val="12"/>
        <rFont val="Times New Roman"/>
        <family val="1"/>
        <charset val="204"/>
      </rPr>
      <t>(розшифрувати)</t>
    </r>
  </si>
  <si>
    <r>
      <t xml:space="preserve">Капітальне будівництво, в тому числі за рахунок внесків до статутного капіталу </t>
    </r>
    <r>
      <rPr>
        <i/>
        <sz val="12"/>
        <rFont val="Times New Roman"/>
        <family val="1"/>
        <charset val="204"/>
      </rPr>
      <t xml:space="preserve">(розшифрувати)  </t>
    </r>
  </si>
  <si>
    <t>в змінах - 1</t>
  </si>
  <si>
    <t>55-05-52</t>
  </si>
  <si>
    <t>м.Житомир, 10005 вул.Чуднівська,120</t>
  </si>
  <si>
    <t>4020/17</t>
  </si>
  <si>
    <t>освітлювальний генератор (освітдювальна щогла-генератор)</t>
  </si>
  <si>
    <r>
      <t xml:space="preserve">Повернення коштів  за довгостроко-вими зобов'язаннями, </t>
    </r>
    <r>
      <rPr>
        <i/>
        <sz val="12"/>
        <rFont val="Times New Roman"/>
        <family val="1"/>
        <charset val="204"/>
      </rPr>
      <t>у тому числі:</t>
    </r>
  </si>
  <si>
    <r>
      <t xml:space="preserve">Отримання коштів  за довгостроко-вими зобов'язаннями, </t>
    </r>
    <r>
      <rPr>
        <i/>
        <sz val="12"/>
        <rFont val="Times New Roman"/>
        <family val="1"/>
        <charset val="204"/>
      </rPr>
      <t>у тому числі:</t>
    </r>
  </si>
  <si>
    <t>придбання освітлювального генератора (освітлювальна щогла-генератор)</t>
  </si>
  <si>
    <t>освітлювальний генератор (освітлювальна щогла-генератор)</t>
  </si>
  <si>
    <t>4,39/5,34</t>
  </si>
  <si>
    <t>5,54/6,11</t>
  </si>
  <si>
    <t>4,67/5,66</t>
  </si>
  <si>
    <t>5,88/6,47</t>
  </si>
  <si>
    <t>4,39/4,67
5,34/5,66</t>
  </si>
  <si>
    <t>5,54/5,88
6,11/6,47</t>
  </si>
  <si>
    <t>інші формули!!!!        Не брати це</t>
  </si>
  <si>
    <t>3440/1/20</t>
  </si>
  <si>
    <t>3440/1/21</t>
  </si>
  <si>
    <t>придбання засувок</t>
  </si>
  <si>
    <t>Реконструкція водопровідної насосної станції № 2 (новий машинний зал) із встановленням частотних перетворювачів по вул. Чуднівська (Черняховського), 120 в м.Житомир</t>
  </si>
  <si>
    <t>4020/18</t>
  </si>
  <si>
    <r>
      <t xml:space="preserve">Реконструкція водопровідної насосної станції № 2 </t>
    </r>
    <r>
      <rPr>
        <sz val="9"/>
        <rFont val="Times New Roman"/>
        <family val="1"/>
        <charset val="204"/>
      </rPr>
      <t>(новий машинний зал) із встановленням частотних перетворювачів по вул. Чуднівська (Черняховського), 120 в м.Житомир</t>
    </r>
  </si>
  <si>
    <t>FIAT DOBLO</t>
  </si>
  <si>
    <t>DAEWOO-FSO</t>
  </si>
  <si>
    <t>Mitsubishi Colt</t>
  </si>
  <si>
    <t>від "__" _________ 20       р. № ____</t>
  </si>
  <si>
    <t>Рік 2017
(зміни-4)</t>
  </si>
  <si>
    <t>не друкувати!!!!!!</t>
  </si>
  <si>
    <t>Водій автомобіля ГАЗ-3307 фургон,грузовий 4,5т</t>
  </si>
  <si>
    <t>Водій автомобіля ГАЗ-52 бортова 2,5т</t>
  </si>
  <si>
    <t>Водій автомобіля ЗІЛ-130 ИЛ-980цистерна муловисмоктувач 5т</t>
  </si>
  <si>
    <t>Водій автомобіля ЗІЛ-130 КО-510 цистерна муловисмоктувач 5т</t>
  </si>
  <si>
    <t>Водій автомобіля ЗІЛ-130 АЦТП-5 цистерна “Питна вода” 5т</t>
  </si>
  <si>
    <t>Водій автомобіля ЗІЛ-130 АЦ-63 пожежна 5т</t>
  </si>
  <si>
    <t>Водій автомобіля КАМАЗ муловисмоктувач,2 цистерни (КО-504, КО-505, КО-507) 12т</t>
  </si>
  <si>
    <t>Водій автомобіля КАМАЗ 5511 муловисм.КО 504 10т</t>
  </si>
  <si>
    <t>Водій автомобіля ЗІЛ-157 телескопічна вишка 4,5т</t>
  </si>
  <si>
    <t>Водій автомобіля МАЗ 54329 тягач бортовий 20т</t>
  </si>
  <si>
    <t>Водій автомобіля МАЗ 54320526  тягач вантажносідловий 25т</t>
  </si>
  <si>
    <t>Водій автомобіля ЗІЛ-130 ММЗ-4302 самоскид 5,8т</t>
  </si>
  <si>
    <t>Водій автомобіля ГАЗ-5302 самоскид 4т</t>
  </si>
  <si>
    <t>Водій автомобіля КАМАЗ-55102 самоскид 7т</t>
  </si>
  <si>
    <t>Водій автомобіля КС-3575А автокран на базі ЗІЛ-133 ГЯ 10т</t>
  </si>
  <si>
    <t>Водій автомобіля КС-2561К  автокран до 10т</t>
  </si>
  <si>
    <t>Водій автомобіля ВАЗ 21063 легков 1,5л</t>
  </si>
  <si>
    <t>Водій автомобіля УАЗ-3741 лабораторія 1,8л</t>
  </si>
  <si>
    <t>Водій автомобіля ВАЗ-2107 1,8л</t>
  </si>
  <si>
    <t>Водій автомобіля ВАЗ -210700-20 “седан-В” 1,5л</t>
  </si>
  <si>
    <t>Водій автомобіля ЗАЗ 110247 1,2л</t>
  </si>
  <si>
    <t>Водій автомобіля ПАЗ-3205 автобус 7,0м</t>
  </si>
  <si>
    <t>Водій КАМАЗ-5511 цистерна асенізаційна</t>
  </si>
  <si>
    <t>Підсобний робітник (асенізаційної цистерни) 1р.</t>
  </si>
  <si>
    <t>Підмінний водій ГАЗ-52 фургон</t>
  </si>
  <si>
    <t>Підмінний водій ГАЗ-53</t>
  </si>
  <si>
    <t>Підмінний водій КО-510, ІЛ-980,ЗІЛ-130</t>
  </si>
  <si>
    <t>Водій автобуса ЛАЗ 699</t>
  </si>
  <si>
    <t>Підмінний водій МАЗ 54329 тягач бортовий</t>
  </si>
  <si>
    <t>Підмінний водій МАЗ 54320526 тягач вантажоносідловий</t>
  </si>
  <si>
    <t>Підсобний робітник ГАЗ-53 асен.цистерна 1р</t>
  </si>
  <si>
    <t>Підсобний робітник КАМАЗ 1р</t>
  </si>
  <si>
    <t>Підсобний робітник ІЛ-980 КО-510 1р</t>
  </si>
  <si>
    <t>Машиніст екскаватора ЕО-4321 1м3 6р</t>
  </si>
  <si>
    <t>Машиніст екскаватора ЕО-3323 0,63м3 6р</t>
  </si>
  <si>
    <t>Машиніст екскаватора ЕО-2621А 0,26м3 5р</t>
  </si>
  <si>
    <t>Підмінний машиніст екскаватора ЕО 4321 6р</t>
  </si>
  <si>
    <t>Підмінний машиніст екскаватора ЕО 2621 5р</t>
  </si>
  <si>
    <t>Тракторист ЮМЗ-6 65к.с. 4р</t>
  </si>
  <si>
    <t>Тракторист Т-40 55к.с. 3р</t>
  </si>
  <si>
    <t>Тракторист Т-150 160 к.с. 5р</t>
  </si>
  <si>
    <t>Машиніст бульдозера ДТ-75, Д-606 75 к.с. 4р</t>
  </si>
  <si>
    <t>Машиніст компресора ПКС Д 525 Д 4р-(12%)</t>
  </si>
  <si>
    <t>Водій навантажувач Авт. 4045 М 3р</t>
  </si>
  <si>
    <t>Слюсар з ремонту автомобілів 5р (12%)</t>
  </si>
  <si>
    <t>Слюсар з ремонту автомобілів 4р (12%)</t>
  </si>
  <si>
    <r>
      <t>Слюсар-електрик з обслуг.е</t>
    </r>
    <r>
      <rPr>
        <sz val="11"/>
        <rFont val="Times New Roman"/>
        <family val="1"/>
        <charset val="204"/>
      </rPr>
      <t>лектроуст. 5р</t>
    </r>
  </si>
  <si>
    <t>Акумуляторник 5р (8%)</t>
  </si>
  <si>
    <t>Слюсар-електромонтажник 3р</t>
  </si>
  <si>
    <t>Начальник дільниці</t>
  </si>
  <si>
    <t>Маляр 4р (12%)</t>
  </si>
  <si>
    <t>Маляр 5р (12%)</t>
  </si>
  <si>
    <t>Штукатур 4р (12%)</t>
  </si>
  <si>
    <t>Штукатур 5р (12%)</t>
  </si>
  <si>
    <t>Муляр 4р (12%)</t>
  </si>
  <si>
    <t>Муляр 5р (12%)</t>
  </si>
  <si>
    <t>Покрівельник 4 (12%)</t>
  </si>
  <si>
    <t>Начальник охорони</t>
  </si>
  <si>
    <t>Старший охоронник</t>
  </si>
  <si>
    <t>Охоронник 1р</t>
  </si>
  <si>
    <t>Охоронник 2р</t>
  </si>
  <si>
    <t>Охоронник 1р (4%)</t>
  </si>
  <si>
    <t>Буфетник 5р</t>
  </si>
  <si>
    <t>Буфетник 4р</t>
  </si>
  <si>
    <t>Адмінперсонал</t>
  </si>
  <si>
    <t>Основна діяльність</t>
  </si>
  <si>
    <t>Загальновиробничі витрати</t>
  </si>
  <si>
    <t>Адмінвитрати</t>
  </si>
  <si>
    <t>Інші витрати</t>
  </si>
  <si>
    <t>адм</t>
  </si>
  <si>
    <t>заг</t>
  </si>
  <si>
    <t>зб</t>
  </si>
  <si>
    <t>інш</t>
  </si>
  <si>
    <t>РАЗОМ</t>
  </si>
  <si>
    <t>К</t>
  </si>
  <si>
    <t>П</t>
  </si>
  <si>
    <t>Ф</t>
  </si>
  <si>
    <t>тех.сл.</t>
  </si>
  <si>
    <t>ІТР</t>
  </si>
  <si>
    <r>
      <t xml:space="preserve">Інші операційні доходи (розшифрувати), </t>
    </r>
    <r>
      <rPr>
        <b/>
        <sz val="12"/>
        <rFont val="Times New Roman"/>
        <family val="1"/>
        <charset val="204"/>
      </rPr>
      <t>у тому числі:</t>
    </r>
  </si>
  <si>
    <t>Витрати на збут,
у тому числі:</t>
  </si>
  <si>
    <t>Інші доходи (розшифрувати), у т. ч.:</t>
  </si>
  <si>
    <t>Інші витрати (розшифрувати), у т. ч.:</t>
  </si>
  <si>
    <t>ВАЗ 2107</t>
  </si>
  <si>
    <t>БМВ 0220</t>
  </si>
  <si>
    <t>господарська  діяльність</t>
  </si>
  <si>
    <t>придбання: насосн.обл, комп. техн., ел.інструмент, меблів</t>
  </si>
  <si>
    <t>кап.ремонт м/водопр, каналіз., КНС, НСВ, ОСК-1, ОСК-2, будівлі, транспорта</t>
  </si>
  <si>
    <t>придбання реагентів</t>
  </si>
  <si>
    <t>проект реконструкції ГКНС</t>
  </si>
  <si>
    <t>будівництво госп.фекальн.каналіз пров. 2й Гранітний</t>
  </si>
  <si>
    <t>будівництво госп.фек.канал. по вул.Західна</t>
  </si>
  <si>
    <t>придбання лабораторних приладів</t>
  </si>
  <si>
    <t>придбання загірн.орм.</t>
  </si>
  <si>
    <t>реконструкція ОСК-1 блоки ємностей</t>
  </si>
  <si>
    <t>створення запасу матеріалів осіньо-зимовий період</t>
  </si>
  <si>
    <t>придбання матеріалів для мобільної лабораторії</t>
  </si>
  <si>
    <t xml:space="preserve">Л.О. Вікарчук </t>
  </si>
  <si>
    <t xml:space="preserve">Керівник     </t>
  </si>
  <si>
    <t>реконструкція мереж водопр.по вул.Михайлівській</t>
  </si>
  <si>
    <t>реконструкція каналіз.колектора та оголовка скидного колектора d 2000 мм випуск №3</t>
  </si>
  <si>
    <t>придбання технологічн.обладнання (механічні решітки 2 шт.) для заміни по ОСК-2</t>
  </si>
  <si>
    <t>придбання техн.обладн (люки чугунні)</t>
  </si>
  <si>
    <t>модернізація насосного обладн. на 24-х КНС</t>
  </si>
  <si>
    <t>створення запасу матеріалів осінньо-зимовий період</t>
  </si>
  <si>
    <t>придбання лічильників води для оснащення вузлів обліку в багатоповерх.будинках</t>
  </si>
  <si>
    <t>придбання екскаватора ЕО 2621</t>
  </si>
  <si>
    <t>погашення заборгованості по відновл. благоуст.міста</t>
  </si>
  <si>
    <t>придбання пожгідрантів</t>
  </si>
  <si>
    <t>придбання гідромолота для екскаватора</t>
  </si>
  <si>
    <t>проведення ремонтн.робіт водопр.мереж с .Лісове</t>
  </si>
  <si>
    <t>придбання технологічн. Обладнання (повітредувки) ОСК2</t>
  </si>
  <si>
    <t>придбання приладів для здійснення контролю за якістю поверхн. та стічн.вод</t>
  </si>
  <si>
    <t>придбання машини із муловисмоктувальним обладнанням для збору та транспортування рідких побутових і промисл. Відходів виробництва КО -50ЗИВ-10 (КО-524)</t>
  </si>
  <si>
    <t>придбання технологічн. обладнання (насоса)</t>
  </si>
  <si>
    <t>придбання насосного обладнання (ОСК-1, ОСК-2)</t>
  </si>
  <si>
    <t>поховання (ритуальні послуги)</t>
  </si>
  <si>
    <t>молоко за шкідливі умови праці</t>
  </si>
  <si>
    <t>Грошові кошти на кінець періоду</t>
  </si>
  <si>
    <t>оплата за радіо (радіоточки, Укртелеком)</t>
  </si>
  <si>
    <t>членські внески (членство в асоціації Укрводоконалекологія)</t>
  </si>
  <si>
    <t>представницькі (обслуговування делегаціїй)</t>
  </si>
  <si>
    <t>підписка (періодичні видання)</t>
  </si>
  <si>
    <t>спецхарчування робітників, що задіяні на довготривалих аваріях</t>
  </si>
  <si>
    <t>перевищення ГДК (гранично-допустимі концентації) у каналізації, повернення 20% штрафу до бюджету</t>
  </si>
  <si>
    <t>Фондовіддача (вартість виробленої продукції/балансова вартість основних виробничих фондів)відношення вартості виробленої продукції до первісної середньорічної вартості основних виробничих фондів</t>
  </si>
  <si>
    <t>Характеризує ефективність використання основних засобів</t>
  </si>
  <si>
    <t>Показник фондовіддачі</t>
  </si>
  <si>
    <t>Коефіцієнт рентабельності активів</t>
  </si>
  <si>
    <t>Коефіцієнт фінансової стійкості</t>
  </si>
  <si>
    <t>оплата послуг, у т.ч.</t>
  </si>
  <si>
    <t>1077/1</t>
  </si>
  <si>
    <t>1077/2</t>
  </si>
  <si>
    <t>1077/3</t>
  </si>
  <si>
    <t>1077/4</t>
  </si>
  <si>
    <t>1077/5</t>
  </si>
  <si>
    <t>1077/6</t>
  </si>
  <si>
    <t>1077/7</t>
  </si>
  <si>
    <t>1077/8</t>
  </si>
  <si>
    <t>1077/9</t>
  </si>
  <si>
    <t>Код
рядка</t>
  </si>
  <si>
    <t>Факт
минулого
року</t>
  </si>
  <si>
    <t>Фінансовий
план
поточного
року</t>
  </si>
  <si>
    <t>в тому числі по кварталам</t>
  </si>
  <si>
    <t>І. Рух коштів у результаті операційної діяльності</t>
  </si>
  <si>
    <t>Надходження грошових коштів від операційної діяльності</t>
  </si>
  <si>
    <t>3000</t>
  </si>
  <si>
    <t>3010</t>
  </si>
  <si>
    <t>3020</t>
  </si>
  <si>
    <t>Отримання короткострокових кредитів</t>
  </si>
  <si>
    <t>3030</t>
  </si>
  <si>
    <t>3040</t>
  </si>
  <si>
    <t>3050</t>
  </si>
  <si>
    <t>Видатки грошових коштів операційної діяльності</t>
  </si>
  <si>
    <t>3060</t>
  </si>
  <si>
    <t>Розрахунки за товари, роботи та послуги</t>
  </si>
  <si>
    <t>3070</t>
  </si>
  <si>
    <t>Розрахунки з оплати праці</t>
  </si>
  <si>
    <t>3080</t>
  </si>
  <si>
    <t>Повернення короткострокових кредитів</t>
  </si>
  <si>
    <t>3090</t>
  </si>
  <si>
    <t>3100</t>
  </si>
  <si>
    <t>3110</t>
  </si>
  <si>
    <t>3120</t>
  </si>
  <si>
    <t>ІІ. Рух коштів у результаті інвестиційної діяльності</t>
  </si>
  <si>
    <t>Надходження грошових коштів від інвестиційної діяльності</t>
  </si>
  <si>
    <t>3200</t>
  </si>
  <si>
    <t>3210</t>
  </si>
  <si>
    <t>Виручка від реалізації нематеріальних активів</t>
  </si>
  <si>
    <t>3220</t>
  </si>
  <si>
    <t>Надходження від продажу акцій та облігацій</t>
  </si>
  <si>
    <t>3230</t>
  </si>
  <si>
    <t xml:space="preserve"> відсотків </t>
  </si>
  <si>
    <t>3240</t>
  </si>
  <si>
    <t xml:space="preserve"> дивідендів</t>
  </si>
  <si>
    <t>3250</t>
  </si>
  <si>
    <t>3260</t>
  </si>
  <si>
    <t>3260/1</t>
  </si>
  <si>
    <t>3260/2</t>
  </si>
  <si>
    <t>Видатки грошових коштів інвестиційної діяльності</t>
  </si>
  <si>
    <t>3270</t>
  </si>
  <si>
    <t>3280</t>
  </si>
  <si>
    <t>3290</t>
  </si>
  <si>
    <t>3300</t>
  </si>
  <si>
    <t>3310</t>
  </si>
  <si>
    <t>3320</t>
  </si>
  <si>
    <t>3320/1</t>
  </si>
  <si>
    <t xml:space="preserve">інші витрати (розшифрувати) </t>
  </si>
  <si>
    <t>3320/2</t>
  </si>
  <si>
    <t>Чистий рух грошових коштів інвестиційної діяльності</t>
  </si>
  <si>
    <t>3330</t>
  </si>
  <si>
    <t>ІІІ. Рух коштів у результаті фінансової діяльності</t>
  </si>
  <si>
    <t>Надходження грошових коштів від фінансової діяльності</t>
  </si>
  <si>
    <t>3400</t>
  </si>
  <si>
    <t>Власного капіталу</t>
  </si>
  <si>
    <t>3410</t>
  </si>
  <si>
    <t>3420</t>
  </si>
  <si>
    <t>3420/1</t>
  </si>
  <si>
    <t>3420/2</t>
  </si>
  <si>
    <t>3420/3</t>
  </si>
  <si>
    <t>3430</t>
  </si>
  <si>
    <t>3430/1</t>
  </si>
  <si>
    <t>3430/2</t>
  </si>
  <si>
    <t>3430/3</t>
  </si>
  <si>
    <t>3440</t>
  </si>
  <si>
    <t>3450</t>
  </si>
  <si>
    <t>Видатки грошових коштів фінансової діяльності</t>
  </si>
  <si>
    <t>3460</t>
  </si>
  <si>
    <t>3470</t>
  </si>
  <si>
    <t>3480</t>
  </si>
  <si>
    <t>3480/1</t>
  </si>
  <si>
    <t>3480/2</t>
  </si>
  <si>
    <t>3480/3</t>
  </si>
  <si>
    <t>3490</t>
  </si>
  <si>
    <t>3490/1</t>
  </si>
  <si>
    <t>3490/2</t>
  </si>
  <si>
    <t>3490/3</t>
  </si>
  <si>
    <t>3500</t>
  </si>
  <si>
    <t>3510</t>
  </si>
  <si>
    <t>3600</t>
  </si>
  <si>
    <t>3610</t>
  </si>
  <si>
    <t>3620</t>
  </si>
  <si>
    <t>3630</t>
  </si>
  <si>
    <r>
      <t xml:space="preserve">Цільове фінансування </t>
    </r>
    <r>
      <rPr>
        <i/>
        <sz val="13"/>
        <rFont val="Times New Roman"/>
        <family val="1"/>
        <charset val="204"/>
      </rPr>
      <t>(розшифрувати)</t>
    </r>
  </si>
  <si>
    <r>
      <t>Аванси одержані</t>
    </r>
    <r>
      <rPr>
        <i/>
        <sz val="13"/>
        <rFont val="Times New Roman"/>
        <family val="1"/>
        <charset val="204"/>
      </rPr>
      <t xml:space="preserve"> (розшифрувати)</t>
    </r>
  </si>
  <si>
    <r>
      <t xml:space="preserve">Інші надходження </t>
    </r>
    <r>
      <rPr>
        <i/>
        <sz val="13"/>
        <rFont val="Times New Roman"/>
        <family val="1"/>
        <charset val="204"/>
      </rPr>
      <t>(розшифрувати)</t>
    </r>
  </si>
  <si>
    <r>
      <t>Платежі до бюджету</t>
    </r>
    <r>
      <rPr>
        <i/>
        <sz val="13"/>
        <rFont val="Times New Roman"/>
        <family val="1"/>
        <charset val="204"/>
      </rPr>
      <t xml:space="preserve"> (розшифрувати)</t>
    </r>
  </si>
  <si>
    <r>
      <t xml:space="preserve">Інші витрати </t>
    </r>
    <r>
      <rPr>
        <i/>
        <sz val="13"/>
        <rFont val="Times New Roman"/>
        <family val="1"/>
        <charset val="204"/>
      </rPr>
      <t>(розшифрувати)</t>
    </r>
  </si>
  <si>
    <r>
      <t>Інші надходження</t>
    </r>
    <r>
      <rPr>
        <i/>
        <sz val="13"/>
        <rFont val="Times New Roman"/>
        <family val="1"/>
        <charset val="204"/>
      </rPr>
      <t xml:space="preserve"> (розшифрувати)</t>
    </r>
  </si>
  <si>
    <r>
      <t xml:space="preserve">Отримання коштів за короткостро-ковими зобов'язаннями, </t>
    </r>
    <r>
      <rPr>
        <i/>
        <sz val="13"/>
        <rFont val="Times New Roman"/>
        <family val="1"/>
        <charset val="204"/>
      </rPr>
      <t>у тому числі:</t>
    </r>
  </si>
  <si>
    <r>
      <t xml:space="preserve">Цільове фінансування </t>
    </r>
    <r>
      <rPr>
        <i/>
        <sz val="13"/>
        <rFont val="Times New Roman"/>
        <family val="1"/>
        <charset val="204"/>
      </rPr>
      <t xml:space="preserve"> (розшифрувати)</t>
    </r>
  </si>
  <si>
    <r>
      <t>Інші надходження</t>
    </r>
    <r>
      <rPr>
        <i/>
        <sz val="13"/>
        <rFont val="Times New Roman"/>
        <family val="1"/>
        <charset val="204"/>
      </rPr>
      <t xml:space="preserve"> (розшифрувати) </t>
    </r>
  </si>
  <si>
    <r>
      <t xml:space="preserve">Повернення коштів за короткостро-ковими зобов'язаннями, </t>
    </r>
    <r>
      <rPr>
        <i/>
        <sz val="13"/>
        <rFont val="Times New Roman"/>
        <family val="1"/>
        <charset val="204"/>
      </rPr>
      <t>у тому числі:</t>
    </r>
  </si>
  <si>
    <t>3050/1</t>
  </si>
  <si>
    <t>3050/2</t>
  </si>
  <si>
    <t>3050/3</t>
  </si>
  <si>
    <t>3050/4</t>
  </si>
  <si>
    <t>3050/5</t>
  </si>
  <si>
    <t>3050/6</t>
  </si>
  <si>
    <t>Дотація</t>
  </si>
  <si>
    <t>Доход від їдальні</t>
  </si>
  <si>
    <t>Реалізація виробничих запасів</t>
  </si>
  <si>
    <t>Штрафи, пені</t>
  </si>
  <si>
    <t>Доход від фонтанів</t>
  </si>
  <si>
    <t xml:space="preserve">Інші </t>
  </si>
  <si>
    <t>відшкодування ел. енергії</t>
  </si>
  <si>
    <t>3050/7</t>
  </si>
  <si>
    <t>3050/8</t>
  </si>
  <si>
    <t xml:space="preserve">податок на додану вартість </t>
  </si>
  <si>
    <t>податок з доходів фізичних осіб</t>
  </si>
  <si>
    <t>Екологічний податок(збір за забруднення навколишнього середовища)</t>
  </si>
  <si>
    <t>Збір за спеціальне використання води</t>
  </si>
  <si>
    <t>Єдиний соціальний внесок</t>
  </si>
  <si>
    <t>Аліменти</t>
  </si>
  <si>
    <t>Профвнески</t>
  </si>
  <si>
    <t>Пені, штрафи, неустройки</t>
  </si>
  <si>
    <t>Лікарняна каса</t>
  </si>
  <si>
    <t>Інші</t>
  </si>
  <si>
    <t>3100/1</t>
  </si>
  <si>
    <t>3100/2</t>
  </si>
  <si>
    <t>3100/3</t>
  </si>
  <si>
    <t>3100/4</t>
  </si>
  <si>
    <t>3100/5</t>
  </si>
  <si>
    <t>3100/6</t>
  </si>
  <si>
    <t>3111/1</t>
  </si>
  <si>
    <t>3111/2</t>
  </si>
  <si>
    <t>3111/3</t>
  </si>
  <si>
    <t>3111/4</t>
  </si>
  <si>
    <t>3111/5</t>
  </si>
  <si>
    <t>3111/6</t>
  </si>
  <si>
    <t>придбання інших необоротних активів</t>
  </si>
  <si>
    <t>3320/2/1</t>
  </si>
  <si>
    <t>3320/2/2</t>
  </si>
  <si>
    <t>3320/2/3</t>
  </si>
  <si>
    <t>3320/2/4</t>
  </si>
  <si>
    <t>3450/1</t>
  </si>
  <si>
    <t>3440/1</t>
  </si>
  <si>
    <t>статутний капітал, в т.ч. на:</t>
  </si>
  <si>
    <t>Придбання лічильників води для оснащення вузлів обліку в багатоквартирних будинках</t>
  </si>
  <si>
    <t>Придбання екскаватора ЕО-2621</t>
  </si>
  <si>
    <t>Придбання матеріалів та відновлення благоустрою вул. Східної</t>
  </si>
  <si>
    <t>Оплата частини чистого прибутку та податку на прибуток</t>
  </si>
  <si>
    <t>Погашення заборгованості перед КП «Житомиртеплокомуненерго» ЖМР</t>
  </si>
  <si>
    <t>Реагенти</t>
  </si>
  <si>
    <t>Індексація заробітної плати</t>
  </si>
  <si>
    <t>3440/1/1</t>
  </si>
  <si>
    <t>3440/1/2</t>
  </si>
  <si>
    <t>3440/1/3</t>
  </si>
  <si>
    <t>3440/1/4</t>
  </si>
  <si>
    <t>3440/1/5</t>
  </si>
  <si>
    <t>3440/1/6</t>
  </si>
  <si>
    <t>3440/1/7</t>
  </si>
  <si>
    <t>фонд охорони навколишнього природного середовища по УКГ</t>
  </si>
  <si>
    <t>3260/2/1</t>
  </si>
  <si>
    <t>придбання та монтаж приладів обліку каналіз.стокі на 24-х КНС</t>
  </si>
  <si>
    <t>утримання та поточний ремонт фонтанів</t>
  </si>
  <si>
    <r>
      <t xml:space="preserve">Собівартість реалізованої продукції </t>
    </r>
    <r>
      <rPr>
        <b/>
        <sz val="11"/>
        <rFont val="Times New Roman"/>
        <family val="1"/>
        <charset val="204"/>
      </rPr>
      <t>(товарів, робіт, послуг) (розшифрувати)</t>
    </r>
  </si>
  <si>
    <t>Код рядка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</si>
  <si>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</si>
  <si>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</si>
  <si>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</si>
  <si>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</si>
  <si>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</si>
  <si>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</si>
  <si>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</si>
  <si>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</si>
  <si>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</si>
  <si>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</si>
  <si>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</si>
  <si>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</si>
  <si>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</si>
  <si>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</si>
  <si>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</si>
  <si>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</si>
  <si>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</si>
  <si>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Плановий рік (усього)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</si>
  <si>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</si>
  <si>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</si>
  <si>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</si>
  <si>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</si>
  <si>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</si>
  <si>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</si>
  <si>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</si>
  <si>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</si>
  <si>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</si>
  <si>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Факт минулого року</t>
  </si>
  <si>
    <t>Виручка від реалізації основних фондів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</si>
  <si>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</si>
  <si>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</si>
  <si>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</si>
  <si>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</si>
  <si>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</si>
  <si>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</si>
  <si>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</si>
  <si>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</si>
  <si>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</si>
  <si>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</si>
  <si>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</si>
  <si>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</si>
  <si>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</si>
  <si>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</si>
  <si>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</si>
  <si>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</si>
  <si>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</si>
  <si>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</si>
  <si>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</si>
  <si>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</si>
  <si>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</si>
  <si>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</si>
  <si>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</si>
  <si>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</si>
  <si>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</si>
  <si>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</si>
  <si>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</si>
  <si>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</si>
  <si>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</si>
  <si>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</si>
  <si>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</si>
  <si>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</si>
  <si>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</si>
  <si>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</si>
  <si>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</si>
  <si>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</si>
  <si>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</si>
  <si>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</si>
  <si>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</si>
  <si>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</si>
  <si>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</si>
  <si>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</si>
  <si>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</si>
  <si>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ІV </t>
  </si>
  <si>
    <t xml:space="preserve">ІІІ </t>
  </si>
  <si>
    <t xml:space="preserve">І </t>
  </si>
  <si>
    <t xml:space="preserve">ІІ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</si>
  <si>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</si>
  <si>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</si>
  <si>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</si>
  <si>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</si>
  <si>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рік</t>
  </si>
  <si>
    <t>Інші операційні витрати, усього, 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</si>
  <si>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</si>
  <si>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</si>
  <si>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</si>
  <si>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</si>
  <si>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</si>
  <si>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</si>
  <si>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</si>
  <si>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</si>
  <si>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</si>
  <si>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</si>
  <si>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</si>
  <si>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</si>
  <si>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</si>
  <si>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</si>
  <si>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</si>
  <si>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</si>
  <si>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</si>
  <si>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Планові показники</t>
  </si>
  <si>
    <t>Примітки</t>
  </si>
  <si>
    <t>&gt; 0</t>
  </si>
  <si>
    <t>у тому числі: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</si>
  <si>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</si>
  <si>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</si>
  <si>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</si>
  <si>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</si>
  <si>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</si>
  <si>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</si>
  <si>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</si>
  <si>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</si>
  <si>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</si>
  <si>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</si>
  <si>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</si>
  <si>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</si>
  <si>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</si>
  <si>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місцеві податки та збори (розшифрувати)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</si>
  <si>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</si>
  <si>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</si>
  <si>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</si>
  <si>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</si>
  <si>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</si>
  <si>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(ініціали, прізвище)</t>
  </si>
  <si>
    <t xml:space="preserve">ЗАТВЕРДЖЕНО  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</si>
  <si>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</si>
  <si>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</si>
  <si>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</si>
  <si>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</si>
  <si>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</si>
  <si>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</si>
  <si>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</si>
  <si>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Плановий 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</si>
  <si>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</si>
  <si>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</si>
  <si>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</si>
  <si>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</si>
  <si>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</si>
  <si>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Доходи/витрати від фінансової та інвестиційної діяльності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</si>
  <si>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</si>
  <si>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</si>
  <si>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</si>
  <si>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</si>
  <si>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</si>
  <si>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</si>
  <si>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</si>
  <si>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</si>
  <si>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</si>
  <si>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Чистий рух коштів від фінансової діяльності </t>
  </si>
  <si>
    <t>Надходження від отриманих:</t>
  </si>
  <si>
    <t>Прогноз на поточний рік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</si>
  <si>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</si>
  <si>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</si>
  <si>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</si>
  <si>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</si>
  <si>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</si>
  <si>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</si>
  <si>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</si>
  <si>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</si>
  <si>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</si>
  <si>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Коефіцієнти фінансової стійкості та ліквідності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</si>
  <si>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</si>
  <si>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</si>
  <si>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</si>
  <si>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</si>
  <si>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</si>
  <si>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</si>
  <si>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</si>
  <si>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</si>
  <si>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</si>
  <si>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</si>
  <si>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</si>
  <si>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</si>
  <si>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</si>
  <si>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</si>
  <si>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</si>
  <si>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</si>
  <si>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</si>
  <si>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</si>
  <si>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</si>
  <si>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</si>
  <si>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</si>
  <si>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</si>
  <si>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</si>
  <si>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</si>
  <si>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</si>
  <si>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</si>
  <si>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</si>
  <si>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</si>
  <si>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</si>
  <si>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курсові різниці</t>
  </si>
  <si>
    <t>2145/1</t>
  </si>
  <si>
    <t>2145/2</t>
  </si>
  <si>
    <t>4010</t>
  </si>
  <si>
    <t>Адміністративні витрати, у тому числі:</t>
  </si>
  <si>
    <t>Чистий  фінансовий результат</t>
  </si>
  <si>
    <t>Коефіцієнт рентабельності діяльності</t>
  </si>
  <si>
    <t>2120 / 2130</t>
  </si>
  <si>
    <t>Інші доходи/витрати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</si>
  <si>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</si>
  <si>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</si>
  <si>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</si>
  <si>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>Найменування об’єкта</t>
  </si>
  <si>
    <t>Інші поточні податки, збори, обов'язкові платежі до державного та місцевих бюджетів, у тому числі: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</si>
  <si>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</si>
  <si>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</si>
  <si>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</si>
  <si>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</si>
  <si>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</si>
  <si>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</si>
  <si>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</si>
  <si>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</si>
  <si>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</si>
  <si>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</si>
  <si>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</si>
  <si>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</si>
  <si>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</si>
  <si>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</si>
  <si>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</si>
  <si>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</si>
  <si>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</si>
  <si>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</si>
  <si>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Інші операційні доходи/витрати
(рядок 1030 - рядок 1080)</t>
  </si>
  <si>
    <t>I. Формування фінансових результатів</t>
  </si>
  <si>
    <t>Фонд оплати праці, тис. гривень, у тому числі:</t>
  </si>
  <si>
    <t>Витрати на оплату праці, тис. гривень, у тому числі:</t>
  </si>
  <si>
    <t>Плановий рік до плану поточного року, %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</si>
  <si>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</si>
  <si>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</si>
  <si>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</si>
  <si>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</si>
  <si>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</si>
  <si>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</si>
  <si>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</si>
  <si>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</si>
  <si>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</si>
  <si>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</si>
  <si>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</si>
  <si>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</si>
  <si>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</si>
  <si>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</si>
  <si>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</si>
  <si>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професіонали</t>
  </si>
  <si>
    <t>фахівці</t>
  </si>
  <si>
    <t>технічні службовці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</si>
  <si>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</si>
  <si>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</si>
  <si>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</si>
  <si>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</si>
  <si>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</si>
  <si>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</si>
  <si>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</si>
  <si>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</si>
  <si>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</si>
  <si>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</si>
  <si>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</si>
  <si>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</si>
  <si>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</si>
  <si>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</si>
  <si>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</si>
  <si>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</si>
  <si>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</si>
  <si>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</si>
  <si>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</si>
  <si>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</si>
  <si>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</si>
  <si>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      Загальна інформація про підприємство (резюме)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</si>
  <si>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</si>
  <si>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</si>
  <si>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</si>
  <si>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М. П.</t>
  </si>
  <si>
    <t>План з повернення коштів</t>
  </si>
  <si>
    <t>План із залучення коштів</t>
  </si>
  <si>
    <t>(    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</si>
  <si>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</si>
  <si>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</si>
  <si>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Інші податки, збори, обов'язкові платежі до державного та місцевих бюджетів</t>
  </si>
  <si>
    <t xml:space="preserve"> рішенням міськвиконкому                            </t>
  </si>
  <si>
    <t>ПОГОДЖЕНО</t>
  </si>
  <si>
    <t>Керівник профільного виконавчого органу міської ради</t>
  </si>
  <si>
    <t xml:space="preserve">        (підпис)</t>
  </si>
  <si>
    <t xml:space="preserve">  (підпис)</t>
  </si>
  <si>
    <t xml:space="preserve">від "____" __________________ 20    р. </t>
  </si>
  <si>
    <t>Відрахування частини чистого прибутку</t>
  </si>
  <si>
    <t>Сплата дивідендів на комунальну частку/відрахувань частини чистого прибутку</t>
  </si>
  <si>
    <r>
      <t>у тому числі:</t>
    </r>
    <r>
      <rPr>
        <i/>
        <sz val="12"/>
        <rFont val="Times New Roman"/>
        <family val="1"/>
        <charset val="204"/>
      </rPr>
      <t xml:space="preserve"> </t>
    </r>
  </si>
  <si>
    <t>в тому числі</t>
  </si>
  <si>
    <t xml:space="preserve">інші надходження (розшифрувати) </t>
  </si>
  <si>
    <t>в тому числі:</t>
  </si>
  <si>
    <t>7</t>
  </si>
  <si>
    <t>8</t>
  </si>
  <si>
    <t>9</t>
  </si>
  <si>
    <t>10</t>
  </si>
  <si>
    <t>_______________________ (ПІБ)</t>
  </si>
  <si>
    <t>внески до статутного капіталу (розшифрувати)</t>
  </si>
  <si>
    <t>Грошові кошти на початок періоду</t>
  </si>
  <si>
    <r>
      <t xml:space="preserve">Податок на додану вартість нарахований/до відшкодування
</t>
    </r>
    <r>
      <rPr>
        <sz val="12"/>
        <rFont val="Times New Roman"/>
        <family val="1"/>
        <charset val="204"/>
      </rPr>
      <t>(з мінусом)</t>
    </r>
  </si>
  <si>
    <t>капітальне будівництво (розшифрувати)</t>
  </si>
  <si>
    <t>придбання (виготовлення) основних засобів (розшифрувати)</t>
  </si>
  <si>
    <t>придбання (виготовлення) інших необоротних матеріальних активів  (розшифрувати)</t>
  </si>
  <si>
    <t>придбання (створення) нематеріальних активів  (розшифрувати)</t>
  </si>
  <si>
    <t>модернізація, модифікація (добудова, дообладнання, реконструкція) основних засобів  (розшифрувати)</t>
  </si>
  <si>
    <t xml:space="preserve">      2. Інформація про бізнес підприємства (код рядка 1000 фінансового плану)</t>
  </si>
  <si>
    <t>Перелік доходів від реалізації товарів, робіт, послуг (за видами)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</si>
  <si>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</si>
  <si>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</si>
  <si>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>ІІ</t>
  </si>
  <si>
    <t>ІІІ</t>
  </si>
  <si>
    <t>За рахунок прибутку, який залишається в розпорядженні підприємства</t>
  </si>
  <si>
    <t>УСЬОГО</t>
  </si>
  <si>
    <t>За рахунок амортизаційних відрахувань</t>
  </si>
  <si>
    <t xml:space="preserve">     надходження коштів (розшифрувати)</t>
  </si>
  <si>
    <t xml:space="preserve">     використання коштів (розшифрувати)</t>
  </si>
  <si>
    <t>обласний бюджет</t>
  </si>
  <si>
    <t>міський бюджет</t>
  </si>
  <si>
    <t>державний бюджет</t>
  </si>
  <si>
    <t>№ п/п</t>
  </si>
  <si>
    <t>Найменування 
посади</t>
  </si>
  <si>
    <t>Чисельність на плановий рік</t>
  </si>
  <si>
    <t>Річний фонд основної заробітної плати (відповідно до посадових окладів і часових тарифних ставок)</t>
  </si>
  <si>
    <t>Додаткова заробітна плата</t>
  </si>
  <si>
    <t>Інші виплати та компенсації, які не включаються до витрат з операційної діяльності</t>
  </si>
  <si>
    <t>Всього річний фонд заробітної плати, тис. грн.</t>
  </si>
  <si>
    <t xml:space="preserve">Доплати та надбавки </t>
  </si>
  <si>
    <t>Премія</t>
  </si>
  <si>
    <t>Матеріальна допомога</t>
  </si>
  <si>
    <t>Індексація</t>
  </si>
  <si>
    <t>всього по штатному розпису</t>
  </si>
  <si>
    <t xml:space="preserve">в т.ч. </t>
  </si>
  <si>
    <t>Всього</t>
  </si>
  <si>
    <t>%</t>
  </si>
  <si>
    <t>Сума, тис. грн.</t>
  </si>
  <si>
    <t>вакантні посади</t>
  </si>
  <si>
    <t>ВСЬОГО</t>
  </si>
  <si>
    <t>Справи за позовом підприємства</t>
  </si>
  <si>
    <t>тис. грн.</t>
  </si>
  <si>
    <t>Номер справи та судова інстанція</t>
  </si>
  <si>
    <t>ПІБ або назва відповідача</t>
  </si>
  <si>
    <t>Предмет позову</t>
  </si>
  <si>
    <t>Пред"явлено позовів</t>
  </si>
  <si>
    <t>Задоволено позовів</t>
  </si>
  <si>
    <t>У стадії розгляду</t>
  </si>
  <si>
    <t>Стягнуто за рішенням суду</t>
  </si>
  <si>
    <t>Інформація про виконання судового рішення</t>
  </si>
  <si>
    <t>кількість</t>
  </si>
  <si>
    <t>сума</t>
  </si>
  <si>
    <t>Х</t>
  </si>
  <si>
    <t>Справи за позовом до підприємства</t>
  </si>
  <si>
    <t>ПІБ або назва позивача</t>
  </si>
  <si>
    <t>Відомості про спори немайнового характеру</t>
  </si>
  <si>
    <t>Сторони</t>
  </si>
  <si>
    <t>Стадія розгляду</t>
  </si>
  <si>
    <t xml:space="preserve">  в т.ч. передано в оренду</t>
  </si>
  <si>
    <t>Інші основні засоби</t>
  </si>
  <si>
    <t>Інструменти, прилади, інвентар</t>
  </si>
  <si>
    <t xml:space="preserve">Транспортні засоби </t>
  </si>
  <si>
    <t xml:space="preserve">Машини та обладнання </t>
  </si>
  <si>
    <t>Будинки та споруди</t>
  </si>
  <si>
    <t>Земельні ділянки</t>
  </si>
  <si>
    <t>Місце знаходження</t>
  </si>
  <si>
    <t>Назва майна</t>
  </si>
  <si>
    <t xml:space="preserve">Відомості про майно </t>
  </si>
  <si>
    <t xml:space="preserve"> Додаток 3 до пояснювальної записки до фінансового плану</t>
  </si>
  <si>
    <t>Додаток 1 до пояснювальної записки до фінансового плану</t>
  </si>
  <si>
    <t>5. Витрати, пов'язані з використанням власних службових автомобілів (у складі адміністративних витрат, рядок 1041)</t>
  </si>
  <si>
    <t>6. Витрати на оренду службових автомобілів (у складі адміністративних витрат, рядок 1042)</t>
  </si>
  <si>
    <t>7. Джерела капітальних інвестицій</t>
  </si>
  <si>
    <t>8. Капітальне будівництво (рядок 4010 таблиці 4)</t>
  </si>
  <si>
    <t>9.План використання бюджетних коштів</t>
  </si>
  <si>
    <t>Інші джерела (розшифрувати)</t>
  </si>
  <si>
    <t>Примітка*   показники додатку 3 повинні відповідати показникам фінансової звітності Форми № 1 "Баланс" та складається на останню звітну дату.</t>
  </si>
  <si>
    <t>Відрахування частини чистого прибутку до міського бюджету</t>
  </si>
  <si>
    <t>продовження</t>
  </si>
  <si>
    <t>ВОДОПОСТАЧАННЯ</t>
  </si>
  <si>
    <t>1000/1</t>
  </si>
  <si>
    <t>І група (населення)</t>
  </si>
  <si>
    <t>1000/2</t>
  </si>
  <si>
    <t>ІІ група (інші споживачі)</t>
  </si>
  <si>
    <t>1000/3</t>
  </si>
  <si>
    <t>ВОДОВІДВЕДЕННЯ</t>
  </si>
  <si>
    <t>1000/4</t>
  </si>
  <si>
    <t>1000/5</t>
  </si>
  <si>
    <t>1000/6</t>
  </si>
  <si>
    <t>(назва підприємства)</t>
  </si>
  <si>
    <t>Районні суди</t>
  </si>
  <si>
    <t>Фізичні особи (населення)</t>
  </si>
  <si>
    <t>Стягнення заборгованості за надані послуги</t>
  </si>
  <si>
    <t>906/202/15</t>
  </si>
  <si>
    <t>ПАТ “ЕК” “Житомиробленерго”</t>
  </si>
  <si>
    <t>Стягнення боргу</t>
  </si>
  <si>
    <t>-</t>
  </si>
  <si>
    <t>906/1303/15</t>
  </si>
  <si>
    <t>ПАТ “Житомирський завод хімічного волокна”</t>
  </si>
  <si>
    <t>розстрочка виконання рішення суду до 01.04.2016р.</t>
  </si>
  <si>
    <t>Начальник юридичного відділу</t>
  </si>
  <si>
    <t>Директор</t>
  </si>
  <si>
    <t>Кротюк Т.В.</t>
  </si>
  <si>
    <t>Бухгалтер</t>
  </si>
  <si>
    <t>КП "Житомирводоканал"</t>
  </si>
  <si>
    <t>1018/1</t>
  </si>
  <si>
    <t>1018/2</t>
  </si>
  <si>
    <t>1018/3</t>
  </si>
  <si>
    <t>1018/4</t>
  </si>
  <si>
    <t>1018/5</t>
  </si>
  <si>
    <t>1018/6</t>
  </si>
  <si>
    <t>1018/7</t>
  </si>
  <si>
    <t>1018/8</t>
  </si>
  <si>
    <t>1018/9</t>
  </si>
  <si>
    <t>1018/10</t>
  </si>
  <si>
    <t>1018/11</t>
  </si>
  <si>
    <t>1018/12</t>
  </si>
  <si>
    <t>1018/13</t>
  </si>
  <si>
    <t>1018/14</t>
  </si>
  <si>
    <t>1018/15</t>
  </si>
  <si>
    <t>1018/16</t>
  </si>
  <si>
    <t>1018/17</t>
  </si>
  <si>
    <t>1018/18</t>
  </si>
  <si>
    <t>1032/1</t>
  </si>
  <si>
    <t>1032/2</t>
  </si>
  <si>
    <t>1032/3</t>
  </si>
  <si>
    <t>1032/4</t>
  </si>
  <si>
    <t>1032/5</t>
  </si>
  <si>
    <t>1032/6</t>
  </si>
  <si>
    <t>1032/7</t>
  </si>
  <si>
    <t>1032/8</t>
  </si>
  <si>
    <t>1062/1</t>
  </si>
  <si>
    <t>1062/2</t>
  </si>
  <si>
    <t>1062/3</t>
  </si>
  <si>
    <t>1062/4</t>
  </si>
  <si>
    <t>1062/5</t>
  </si>
  <si>
    <t>1062/6</t>
  </si>
  <si>
    <t>1062/7</t>
  </si>
  <si>
    <t>1062/8</t>
  </si>
  <si>
    <t>1062/9</t>
  </si>
  <si>
    <t>1062/10</t>
  </si>
  <si>
    <t>1062/11</t>
  </si>
  <si>
    <t>1062/12</t>
  </si>
  <si>
    <t>1062/13</t>
  </si>
  <si>
    <t>1062/14</t>
  </si>
  <si>
    <t>1062/15</t>
  </si>
  <si>
    <t>4010/1</t>
  </si>
  <si>
    <t>4010/2</t>
  </si>
  <si>
    <t>Придбання комп'ютерної техніки</t>
  </si>
  <si>
    <t>4020/1</t>
  </si>
  <si>
    <t>придбання меблів</t>
  </si>
  <si>
    <t>4020/2</t>
  </si>
  <si>
    <t>придбання інших об"єктів основних засобів</t>
  </si>
  <si>
    <t>4020/3</t>
  </si>
  <si>
    <t>обладнання</t>
  </si>
  <si>
    <t>4020/4</t>
  </si>
  <si>
    <t>ел.інструмент</t>
  </si>
  <si>
    <t>4020/5</t>
  </si>
  <si>
    <t>придбання приладів контролю</t>
  </si>
  <si>
    <t>4020/6</t>
  </si>
  <si>
    <t>придбання насосного обладнання</t>
  </si>
  <si>
    <t>4020/7</t>
  </si>
  <si>
    <t>технологічне обладнання</t>
  </si>
  <si>
    <t>4020/8</t>
  </si>
  <si>
    <t>мобільна лабораторія</t>
  </si>
  <si>
    <t>4020/9</t>
  </si>
  <si>
    <t>придбання приладів для здійснення контролю за якістю поверхневих та стічних вод</t>
  </si>
  <si>
    <t>4020/10</t>
  </si>
  <si>
    <t>придбання матеріалів</t>
  </si>
  <si>
    <t>4020/11</t>
  </si>
  <si>
    <t>транспорт</t>
  </si>
  <si>
    <t>4020/12</t>
  </si>
  <si>
    <t>програмне забезпечення</t>
  </si>
  <si>
    <t>реконструкція ОСК-2 котельня</t>
  </si>
  <si>
    <t>4050/1</t>
  </si>
  <si>
    <t>реконструкція ОСК-1 (блок ємкостей)</t>
  </si>
  <si>
    <t>4050/2</t>
  </si>
  <si>
    <t>реконструкція ОСК-1 (опалення)</t>
  </si>
  <si>
    <t>4050/3</t>
  </si>
  <si>
    <t>4050/4</t>
  </si>
  <si>
    <t>реконструкція водопроводу по вул. Якіра</t>
  </si>
  <si>
    <t>4050/5</t>
  </si>
  <si>
    <t>4050/6</t>
  </si>
  <si>
    <t>реконструкція ГКНС</t>
  </si>
  <si>
    <t>4050/7</t>
  </si>
  <si>
    <t>модернізація насосного обладнання на 24-х КНС</t>
  </si>
  <si>
    <t>4050/8</t>
  </si>
  <si>
    <t>Капітальний ремонт (розшифрувати)</t>
  </si>
  <si>
    <t>4060/1</t>
  </si>
  <si>
    <t>ремонт будівель</t>
  </si>
  <si>
    <t>4060/2</t>
  </si>
  <si>
    <t>ОСК-1</t>
  </si>
  <si>
    <t>4060/3</t>
  </si>
  <si>
    <t>мережі каналізації</t>
  </si>
  <si>
    <t>4060/4</t>
  </si>
  <si>
    <t>НСВ</t>
  </si>
  <si>
    <t>4060/5</t>
  </si>
  <si>
    <t>мережі водопроводу</t>
  </si>
  <si>
    <t>4060/6</t>
  </si>
  <si>
    <t>КНС</t>
  </si>
  <si>
    <t>4060/7</t>
  </si>
  <si>
    <t>ремонт обладнання</t>
  </si>
  <si>
    <t>4060/8</t>
  </si>
  <si>
    <t>ОСК-2</t>
  </si>
  <si>
    <t>4060/9</t>
  </si>
  <si>
    <t>ремонт ком. техніки</t>
  </si>
  <si>
    <t>4060/10</t>
  </si>
  <si>
    <t>4050/9</t>
  </si>
  <si>
    <t>Керівник              Директор</t>
  </si>
  <si>
    <t>______________________</t>
  </si>
  <si>
    <t xml:space="preserve">                                         (посада)</t>
  </si>
  <si>
    <t xml:space="preserve">(ініціали, прізвище)    </t>
  </si>
  <si>
    <t>Головний бухгалтер</t>
  </si>
  <si>
    <t xml:space="preserve">М.І. Чиншева </t>
  </si>
  <si>
    <t>Заступник директора</t>
  </si>
  <si>
    <t xml:space="preserve">О.П. Огороднік </t>
  </si>
  <si>
    <t>Виконавець</t>
  </si>
  <si>
    <t xml:space="preserve">М.І. Чиншева, Л.О. Вікарчук </t>
  </si>
  <si>
    <t>капітальний  ремонт</t>
  </si>
  <si>
    <t>реконструкція обєктів</t>
  </si>
  <si>
    <t>капітальне будівництво</t>
  </si>
  <si>
    <t>інші</t>
  </si>
  <si>
    <t>% банку на залишок коштів</t>
  </si>
  <si>
    <t>реагенти</t>
  </si>
  <si>
    <t>опалення</t>
  </si>
  <si>
    <t>бойлерні</t>
  </si>
  <si>
    <t>податки</t>
  </si>
  <si>
    <t>газ</t>
  </si>
  <si>
    <t>передача електроенергії (Хімволокно)</t>
  </si>
  <si>
    <t>покупна вода "Рекорд"</t>
  </si>
  <si>
    <t>страхування</t>
  </si>
  <si>
    <t>проїздні квитки</t>
  </si>
  <si>
    <t>запчастини</t>
  </si>
  <si>
    <t>витрати на ремонт</t>
  </si>
  <si>
    <t>асфальтування після розкопок</t>
  </si>
  <si>
    <t>дозволи на розкопки</t>
  </si>
  <si>
    <t>медогляд</t>
  </si>
  <si>
    <t>охорона</t>
  </si>
  <si>
    <t>гідродинамічне очищення усереднювача</t>
  </si>
  <si>
    <t>Інші операційні доходи (розшифрувати)</t>
  </si>
  <si>
    <t>дохід від реалізації товарів в їдальні</t>
  </si>
  <si>
    <t>дохід від реалізації виробничих запасів</t>
  </si>
  <si>
    <t>дотація від різниці в тарифах на послуги з водопостачання та водовідведення</t>
  </si>
  <si>
    <t>одержані пені, штрафи, неустойки</t>
  </si>
  <si>
    <t>одержані гаранти (доходи від фонтанів)</t>
  </si>
  <si>
    <t>відшкодування електричної енергії</t>
  </si>
  <si>
    <t>платні послуги</t>
  </si>
  <si>
    <t>банківські послуги</t>
  </si>
  <si>
    <t>судові витрати</t>
  </si>
  <si>
    <t>електроенергія</t>
  </si>
  <si>
    <t>витрати на придбання МШП</t>
  </si>
  <si>
    <t>вивіз сміття</t>
  </si>
  <si>
    <t>періодичні видання, підписка</t>
  </si>
  <si>
    <t>матеріали, сировина</t>
  </si>
  <si>
    <t>ремонт меблів, оргтехніки</t>
  </si>
  <si>
    <t>виготовлення тех.документації</t>
  </si>
  <si>
    <t>розрахунки нормативів грошової оцінки земельної ділянки</t>
  </si>
  <si>
    <t>послуги по світовому банку</t>
  </si>
  <si>
    <t>послуги з обслуговування автоматизованої системи</t>
  </si>
  <si>
    <t>МШП, матеріали</t>
  </si>
  <si>
    <t>паливо</t>
  </si>
  <si>
    <t>1085/1</t>
  </si>
  <si>
    <t>1085/2</t>
  </si>
  <si>
    <t>1085/3</t>
  </si>
  <si>
    <t>витрати по медпункту</t>
  </si>
  <si>
    <t>1085/4</t>
  </si>
  <si>
    <t>витрати по їдальні</t>
  </si>
  <si>
    <t>1085/5</t>
  </si>
  <si>
    <t>собівартість реалізованих виробничих запасів</t>
  </si>
  <si>
    <t>1085/6</t>
  </si>
  <si>
    <t>витрати по обслуговуванню фонтанів</t>
  </si>
  <si>
    <t>1085/7</t>
  </si>
  <si>
    <t>матеріальна допомога</t>
  </si>
  <si>
    <t>1085/8</t>
  </si>
  <si>
    <t>транспортування електроенергії</t>
  </si>
  <si>
    <t>1085/9</t>
  </si>
  <si>
    <t>сировина і матеріали</t>
  </si>
  <si>
    <t>1085/10</t>
  </si>
  <si>
    <t>1085/11</t>
  </si>
  <si>
    <t>ел.ен. по бойлерних</t>
  </si>
  <si>
    <t>1085/12</t>
  </si>
  <si>
    <t>лікарняні з відрахуваннями</t>
  </si>
  <si>
    <t>1085/13</t>
  </si>
  <si>
    <t>1085/14</t>
  </si>
  <si>
    <t>1085/15</t>
  </si>
  <si>
    <t>1085/16</t>
  </si>
  <si>
    <t>1085/17</t>
  </si>
  <si>
    <t>пільгові пенсії</t>
  </si>
  <si>
    <t>1085/18</t>
  </si>
  <si>
    <t>1085/19</t>
  </si>
  <si>
    <t>1085/20</t>
  </si>
  <si>
    <t>1085/21</t>
  </si>
  <si>
    <t>1085/22</t>
  </si>
  <si>
    <t>повірка лічильників</t>
  </si>
  <si>
    <t>1085/22/1</t>
  </si>
  <si>
    <t>1085/22/2</t>
  </si>
  <si>
    <t>судові витрати, відшкодування збитків</t>
  </si>
  <si>
    <t>виконавчий збір, пені, інфляційні, річні</t>
  </si>
  <si>
    <t>1085/23</t>
  </si>
  <si>
    <t>списана дебіторська заборгованість</t>
  </si>
  <si>
    <t>1085/24</t>
  </si>
  <si>
    <t>штрафи по податках</t>
  </si>
  <si>
    <t>1085/25</t>
  </si>
  <si>
    <t>благодійні внески</t>
  </si>
  <si>
    <t>1085/26</t>
  </si>
  <si>
    <t>1085/27</t>
  </si>
  <si>
    <t>1085/28</t>
  </si>
  <si>
    <t>відрядження</t>
  </si>
  <si>
    <t>1085/29</t>
  </si>
  <si>
    <t>дератизація</t>
  </si>
  <si>
    <t>1085/30</t>
  </si>
  <si>
    <t>1085/31</t>
  </si>
  <si>
    <t>1085/32</t>
  </si>
  <si>
    <t>1085/33</t>
  </si>
  <si>
    <t>1085/34</t>
  </si>
  <si>
    <t>% банків на залишок коштів на рахунках</t>
  </si>
  <si>
    <t>1120/1</t>
  </si>
  <si>
    <t>% за кредит</t>
  </si>
  <si>
    <t>1140/1</t>
  </si>
  <si>
    <t>дохід від безоплатно одержаних активів</t>
  </si>
  <si>
    <t>військовий збір</t>
  </si>
  <si>
    <t>2146/1</t>
  </si>
  <si>
    <t>податок на землю</t>
  </si>
  <si>
    <t>2146/2</t>
  </si>
  <si>
    <t>Екологічний податок (збір за забруднення навколишнього середовища)</t>
  </si>
  <si>
    <t>2146/3</t>
  </si>
  <si>
    <t>Ресурсні платежі</t>
  </si>
  <si>
    <t>2147/1</t>
  </si>
  <si>
    <t>Керівник   Директор</t>
  </si>
  <si>
    <t>______________________________Марцун О.В.</t>
  </si>
  <si>
    <t>41.00.0</t>
  </si>
  <si>
    <t>КП "Житомирводоканал" ЖМР</t>
  </si>
  <si>
    <t>Комунальне підприємство</t>
  </si>
  <si>
    <t>м. Житомир</t>
  </si>
  <si>
    <t>Житомирська міська рада</t>
  </si>
  <si>
    <t>житлово-комунальна</t>
  </si>
  <si>
    <t>забір, очищення та постачання води</t>
  </si>
  <si>
    <t>Форма власності                                  Комунальна власність</t>
  </si>
  <si>
    <t xml:space="preserve">М.І. Чиншева, 
Л.О. Вікарчук </t>
  </si>
  <si>
    <t>Одиниця виміру, тис. гривень                             тис. гривень</t>
  </si>
  <si>
    <t>5 зп</t>
  </si>
  <si>
    <t>витрати на повірку лічильників</t>
  </si>
  <si>
    <t>нічні</t>
  </si>
  <si>
    <t>секретність</t>
  </si>
  <si>
    <t>шкідливість</t>
  </si>
  <si>
    <t>класнсть</t>
  </si>
  <si>
    <t>бригадирські</t>
  </si>
  <si>
    <t>відпустка</t>
  </si>
  <si>
    <t xml:space="preserve">на оздоровлення </t>
  </si>
  <si>
    <t xml:space="preserve">матео допомога </t>
  </si>
  <si>
    <t>Головний інженер</t>
  </si>
  <si>
    <t>Заступник директора з розвитку та капітального будівництва</t>
  </si>
  <si>
    <t>Заступник директора з фінансово-економічних питань</t>
  </si>
  <si>
    <t>Інженер-інспектор ІІ к</t>
  </si>
  <si>
    <t>Головний енергетик</t>
  </si>
  <si>
    <t>Заступник головного інженера</t>
  </si>
  <si>
    <t>Інженер з ЦЗ ІІ к.</t>
  </si>
  <si>
    <r>
      <t>Менеджер по зв</t>
    </r>
    <r>
      <rPr>
        <sz val="12"/>
        <rFont val="Arial"/>
        <family val="2"/>
        <charset val="204"/>
      </rPr>
      <t>'</t>
    </r>
    <r>
      <rPr>
        <sz val="12"/>
        <rFont val="Times New Roman"/>
        <family val="1"/>
        <charset val="204"/>
      </rPr>
      <t>язках з громадськістю</t>
    </r>
  </si>
  <si>
    <t>Секретар директора</t>
  </si>
  <si>
    <t>Заст головного бухгалтера</t>
  </si>
  <si>
    <t>Бухгалтер ІІ кат</t>
  </si>
  <si>
    <t>Начальник планово-економічного відділу</t>
  </si>
  <si>
    <t>Економіст з планування виробн. ІІ к.</t>
  </si>
  <si>
    <t>Економіст з планування І кат.</t>
  </si>
  <si>
    <t>Економіст з праці ІІ кат.</t>
  </si>
  <si>
    <t>Економіст</t>
  </si>
  <si>
    <t>Начальник  виробничого-технічного відділу</t>
  </si>
  <si>
    <t>Заступник начальника  виробничого-технічного відділу</t>
  </si>
  <si>
    <t>Економіст з договірних та претензійних робіт ІІ к.</t>
  </si>
  <si>
    <t>Інженер з підготовки виробн.ІІ кат.</t>
  </si>
  <si>
    <t>Інженер з підготовки виробництва</t>
  </si>
  <si>
    <t>Інженер з налагодження й випробувань</t>
  </si>
  <si>
    <t>Інженер з охорони навколишнього середовища І кат.</t>
  </si>
  <si>
    <t>Інженер з метрології</t>
  </si>
  <si>
    <t>Начальник відділу охорони праці</t>
  </si>
  <si>
    <t>Інженер по охороні праці І кат.</t>
  </si>
  <si>
    <t>Інженер по охороні праці ІІ кат.</t>
  </si>
  <si>
    <t>Начальник відділу капіталного будівництва</t>
  </si>
  <si>
    <t>Інженер з нагл.за будівництвом ІІ кат.</t>
  </si>
  <si>
    <t>Інженер з нагл.за будівництвом</t>
  </si>
  <si>
    <t>Начальник відділу кадрів</t>
  </si>
  <si>
    <t>Старший інспектор з кадрів</t>
  </si>
  <si>
    <t>Інспектор з кадрів</t>
  </si>
  <si>
    <t>Юрисконсульт І кат.</t>
  </si>
  <si>
    <t>Юрисконсульт</t>
  </si>
  <si>
    <t>Начальник відділу МТП</t>
  </si>
  <si>
    <t>Товарознавець ІІ кат.</t>
  </si>
  <si>
    <t>Завідувач центрального складу</t>
  </si>
  <si>
    <t>Завідувач господарства</t>
  </si>
  <si>
    <t>Завідувач складу</t>
  </si>
  <si>
    <t>Комірник (заправник ПММ) (4%)</t>
  </si>
  <si>
    <t>Оператор заправних станцій 3р (4%)</t>
  </si>
  <si>
    <t xml:space="preserve">Вантажник 2р </t>
  </si>
  <si>
    <r>
      <t>Оператор комп</t>
    </r>
    <r>
      <rPr>
        <sz val="12"/>
        <rFont val="Arial"/>
        <family val="2"/>
        <charset val="204"/>
      </rPr>
      <t>'</t>
    </r>
    <r>
      <rPr>
        <sz val="12"/>
        <rFont val="Times New Roman"/>
        <family val="1"/>
        <charset val="204"/>
      </rPr>
      <t>ютерного набору 5р.</t>
    </r>
  </si>
  <si>
    <t>Прибиральник службових приміщень 2р.</t>
  </si>
  <si>
    <t>Прибиральник виробн.приміщень 2р.</t>
  </si>
  <si>
    <t>Двірник 1 р.</t>
  </si>
  <si>
    <t xml:space="preserve">Начальник водоводу </t>
  </si>
  <si>
    <t>Провідний технолог</t>
  </si>
  <si>
    <t>Інженер з експл.споруд устатк.водопр.госп.І кат (8%)</t>
  </si>
  <si>
    <t xml:space="preserve">Інженер – технолог І кат. </t>
  </si>
  <si>
    <t xml:space="preserve">Інженер – технолог ІІ кат. </t>
  </si>
  <si>
    <t>Майстер виробн.дільниці І підйому (8%)</t>
  </si>
  <si>
    <t>Майстер виробн.дільниці ІІІ підйому</t>
  </si>
  <si>
    <t>Електромонтер з рем.і обсл.електрообл. 4р(8%)</t>
  </si>
  <si>
    <t>Машиніст крана 5р</t>
  </si>
  <si>
    <t>Стропальник 2р</t>
  </si>
  <si>
    <t>Машиніст насосних установок 4р (8%)</t>
  </si>
  <si>
    <t>Оператор хлораторної установки 4р (12%)</t>
  </si>
  <si>
    <t>Оператор на фільтрах (ВШФ) 4р</t>
  </si>
  <si>
    <t>Оператор водозапірних споруд 2р</t>
  </si>
  <si>
    <t>Електромонтер з рем.і обслуг. 5р (8%)</t>
  </si>
  <si>
    <t>Електромонтер з ремонту та обслуг.5р (8%)</t>
  </si>
  <si>
    <t>Слюсар-ремонтник 4р (8%)</t>
  </si>
  <si>
    <t>Опалювач 2р (8%)</t>
  </si>
  <si>
    <t>Машиніст крана (мостового) 4р</t>
  </si>
  <si>
    <t>Прибиральниця виробн.приміщень 2р</t>
  </si>
  <si>
    <t>Водій навантажувача 3р</t>
  </si>
  <si>
    <t>Двірник 1р</t>
  </si>
  <si>
    <t>Оператор на фільтрах 4 (8%)</t>
  </si>
  <si>
    <t>Оператор очисних споруд (на освітлювачах) 4р (8%)</t>
  </si>
  <si>
    <t>Машиніст насосних установок (блоку повт.викор.води) 2р</t>
  </si>
  <si>
    <t>Оператор очисних споруд (блоку повторн.викор.води) 4р (8%)</t>
  </si>
  <si>
    <t>Коагулянник 4р (8%)</t>
  </si>
  <si>
    <t>Електромонтер з ремонту та обслуг.електроуст. 6 р (8%)</t>
  </si>
  <si>
    <t>Електромонтер з ремонту та обслуг.електроуст. 5р (8%)</t>
  </si>
  <si>
    <t>Електромонтер з ремонту та обсл.електроуст. 3р (8%)</t>
  </si>
  <si>
    <t>Слюсар-ремонтник (по обсл.технолог.обл.) 5р. (8%)</t>
  </si>
  <si>
    <t>Слюсар-ремонтник по обслуг.технологічн.обл. 4р (8%)</t>
  </si>
  <si>
    <t>Слюсар-ремонтник БПВВ 5р (8%)</t>
  </si>
  <si>
    <t>Слюсар-ремонтник БПВВ 4р (8%)</t>
  </si>
  <si>
    <t>Електрогазозварник 5р (12%)</t>
  </si>
  <si>
    <t>Електрогазозварник 6р (12%)</t>
  </si>
  <si>
    <t>Машиніст компресорних установок 4р</t>
  </si>
  <si>
    <t>Прибиральник служб.приміщень 2р</t>
  </si>
  <si>
    <t>Машиніст насосних установок 2р</t>
  </si>
  <si>
    <t>Машиніст насосних установок (агрегатів підкачування) 2р</t>
  </si>
  <si>
    <t>Електромонтер з ремонту та обслуг.електроуст. 4р (8%)</t>
  </si>
  <si>
    <t>Електромонтер з ремонту та обсл.електроуст. 5р (8%)</t>
  </si>
  <si>
    <t>Слюсар-ремонтник (по обслуг. техн. обладнання) 4р (8%)</t>
  </si>
</sst>
</file>

<file path=xl/styles.xml><?xml version="1.0" encoding="utf-8"?>
<styleSheet xmlns="http://schemas.openxmlformats.org/spreadsheetml/2006/main">
  <numFmts count="25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dd\.mm\.yyyy;@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_);_(@_)"/>
    <numFmt numFmtId="180" formatCode="#,##0;\-#,##0"/>
    <numFmt numFmtId="181" formatCode="_-* #,##0.0\ _₽_-;\-* #,##0.0\ _₽_-;_-* &quot;-&quot;?\ _₽_-;_-@_-"/>
    <numFmt numFmtId="182" formatCode="0.0\ ;[Red]\-0.0\ "/>
    <numFmt numFmtId="183" formatCode="_(* #,##0.00_);_(* \(#,##0.00\);_(* &quot;-&quot;_);_(@_)"/>
    <numFmt numFmtId="184" formatCode="#,##0.00;[Red]\-#,##0.00"/>
    <numFmt numFmtId="185" formatCode="0.000"/>
    <numFmt numFmtId="186" formatCode="0.00_ ;[Red]\-0.00\ "/>
    <numFmt numFmtId="187" formatCode="0.0_ ;[Red]\-0.0\ "/>
  </numFmts>
  <fonts count="12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color indexed="12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sz val="11"/>
      <name val="Arial Cyr"/>
      <charset val="204"/>
    </font>
    <font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name val="Arial Cyr"/>
      <family val="2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u/>
      <sz val="10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2"/>
      <color indexed="13"/>
      <name val="Arial Cyr"/>
      <charset val="204"/>
    </font>
    <font>
      <b/>
      <sz val="12"/>
      <color indexed="22"/>
      <name val="Arial Cyr"/>
      <charset val="204"/>
    </font>
    <font>
      <b/>
      <sz val="12"/>
      <name val="Arial Cyr"/>
      <charset val="204"/>
    </font>
    <font>
      <b/>
      <sz val="9"/>
      <color indexed="56"/>
      <name val="Arial Cyr"/>
      <charset val="204"/>
    </font>
    <font>
      <sz val="16"/>
      <color indexed="81"/>
      <name val="Tahoma"/>
      <family val="2"/>
      <charset val="204"/>
    </font>
    <font>
      <b/>
      <sz val="10"/>
      <color indexed="56"/>
      <name val="Arial Cyr"/>
      <charset val="204"/>
    </font>
    <font>
      <sz val="10"/>
      <color indexed="56"/>
      <name val="Arial Cyr"/>
      <charset val="204"/>
    </font>
    <font>
      <b/>
      <sz val="16"/>
      <name val="Arial Cyr"/>
      <family val="2"/>
      <charset val="204"/>
    </font>
    <font>
      <sz val="14"/>
      <name val="Arial Cyr"/>
      <family val="2"/>
      <charset val="204"/>
    </font>
    <font>
      <i/>
      <sz val="9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Arial Cyr"/>
      <charset val="204"/>
    </font>
    <font>
      <u/>
      <sz val="13"/>
      <name val="Times New Roman"/>
      <family val="1"/>
      <charset val="204"/>
    </font>
    <font>
      <sz val="13"/>
      <name val="Arial Cyr"/>
      <family val="2"/>
      <charset val="204"/>
    </font>
    <font>
      <sz val="6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6"/>
      <color indexed="56"/>
      <name val="Arial Cyr"/>
      <charset val="204"/>
    </font>
    <font>
      <sz val="16"/>
      <name val="Arial Cyr"/>
      <charset val="204"/>
    </font>
    <font>
      <sz val="16"/>
      <color indexed="56"/>
      <name val="Arial Cyr"/>
      <charset val="204"/>
    </font>
    <font>
      <b/>
      <sz val="20"/>
      <name val="Arial Cyr"/>
      <charset val="204"/>
    </font>
    <font>
      <i/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20"/>
      <color indexed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34"/>
      </patternFill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41"/>
        <bgColor indexed="35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7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7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0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1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" fillId="0" borderId="0"/>
    <xf numFmtId="0" fontId="127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5" fontId="68" fillId="22" borderId="12" applyFill="0" applyBorder="0">
      <alignment horizontal="center" vertical="center" wrapText="1"/>
      <protection locked="0"/>
    </xf>
    <xf numFmtId="170" fontId="69" fillId="0" borderId="0">
      <alignment wrapText="1"/>
    </xf>
    <xf numFmtId="170" fontId="36" fillId="0" borderId="0">
      <alignment wrapText="1"/>
    </xf>
  </cellStyleXfs>
  <cellXfs count="849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0" fontId="12" fillId="0" borderId="0" xfId="0" applyFont="1" applyFill="1"/>
    <xf numFmtId="169" fontId="5" fillId="0" borderId="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16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4" fillId="0" borderId="0" xfId="0" quotePrefix="1" applyFont="1" applyFill="1" applyBorder="1" applyAlignment="1">
      <alignment horizontal="center"/>
    </xf>
    <xf numFmtId="169" fontId="4" fillId="0" borderId="0" xfId="0" quotePrefix="1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5" fillId="0" borderId="0" xfId="245" applyNumberFormat="1" applyFont="1" applyFill="1" applyBorder="1" applyAlignment="1">
      <alignment horizontal="center" vertical="center" wrapText="1"/>
    </xf>
    <xf numFmtId="169" fontId="5" fillId="0" borderId="0" xfId="245" applyNumberFormat="1" applyFont="1" applyFill="1" applyBorder="1" applyAlignment="1">
      <alignment horizontal="right" vertical="center" wrapText="1"/>
    </xf>
    <xf numFmtId="0" fontId="5" fillId="0" borderId="0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left" vertical="center" wrapText="1"/>
    </xf>
    <xf numFmtId="49" fontId="5" fillId="0" borderId="3" xfId="237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 shrinkToFit="1"/>
    </xf>
    <xf numFmtId="172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2" fontId="5" fillId="29" borderId="3" xfId="0" applyNumberFormat="1" applyFont="1" applyFill="1" applyBorder="1" applyAlignment="1">
      <alignment horizontal="center" vertical="center" wrapText="1"/>
    </xf>
    <xf numFmtId="178" fontId="5" fillId="29" borderId="3" xfId="0" applyNumberFormat="1" applyFont="1" applyFill="1" applyBorder="1" applyAlignment="1">
      <alignment horizontal="center" vertical="center" wrapText="1"/>
    </xf>
    <xf numFmtId="168" fontId="5" fillId="29" borderId="3" xfId="0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172" fontId="5" fillId="3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/>
    <xf numFmtId="0" fontId="12" fillId="0" borderId="0" xfId="0" applyFont="1" applyAlignment="1">
      <alignment vertical="top" wrapText="1"/>
    </xf>
    <xf numFmtId="0" fontId="70" fillId="0" borderId="3" xfId="245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 shrinkToFit="1"/>
    </xf>
    <xf numFmtId="0" fontId="70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70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70" fillId="0" borderId="3" xfId="0" quotePrefix="1" applyFont="1" applyFill="1" applyBorder="1" applyAlignment="1">
      <alignment horizontal="center" vertical="center"/>
    </xf>
    <xf numFmtId="0" fontId="72" fillId="0" borderId="3" xfId="0" quotePrefix="1" applyFont="1" applyFill="1" applyBorder="1" applyAlignment="1">
      <alignment horizontal="center" vertical="center"/>
    </xf>
    <xf numFmtId="0" fontId="72" fillId="0" borderId="3" xfId="0" quotePrefix="1" applyFont="1" applyFill="1" applyBorder="1" applyAlignment="1">
      <alignment horizontal="center" vertical="center" wrapText="1"/>
    </xf>
    <xf numFmtId="0" fontId="70" fillId="0" borderId="3" xfId="0" quotePrefix="1" applyFont="1" applyFill="1" applyBorder="1" applyAlignment="1">
      <alignment horizontal="center" vertical="center" wrapText="1"/>
    </xf>
    <xf numFmtId="0" fontId="72" fillId="0" borderId="3" xfId="0" applyFont="1" applyFill="1" applyBorder="1" applyAlignment="1">
      <alignment horizontal="center" vertical="center" wrapText="1"/>
    </xf>
    <xf numFmtId="0" fontId="72" fillId="0" borderId="3" xfId="245" applyFont="1" applyFill="1" applyBorder="1" applyAlignment="1">
      <alignment horizontal="center" vertical="center" wrapText="1"/>
    </xf>
    <xf numFmtId="0" fontId="10" fillId="0" borderId="3" xfId="245" applyFont="1" applyFill="1" applyBorder="1" applyAlignment="1">
      <alignment horizontal="left" vertical="center" wrapText="1"/>
    </xf>
    <xf numFmtId="0" fontId="71" fillId="0" borderId="3" xfId="245" applyFont="1" applyFill="1" applyBorder="1" applyAlignment="1">
      <alignment horizontal="left" vertical="center" wrapText="1"/>
    </xf>
    <xf numFmtId="0" fontId="12" fillId="0" borderId="3" xfId="245" applyFont="1" applyFill="1" applyBorder="1" applyAlignment="1">
      <alignment horizontal="center" vertical="center" wrapText="1"/>
    </xf>
    <xf numFmtId="0" fontId="10" fillId="0" borderId="3" xfId="245" applyFont="1" applyFill="1" applyBorder="1" applyAlignment="1">
      <alignment horizontal="center" vertical="center"/>
    </xf>
    <xf numFmtId="0" fontId="10" fillId="0" borderId="3" xfId="245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horizontal="center" vertical="center" wrapText="1" shrinkToFit="1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justify"/>
    </xf>
    <xf numFmtId="0" fontId="70" fillId="0" borderId="0" xfId="0" applyFont="1" applyFill="1" applyBorder="1" applyAlignment="1">
      <alignment vertical="justify"/>
    </xf>
    <xf numFmtId="0" fontId="70" fillId="0" borderId="0" xfId="0" applyFont="1" applyFill="1" applyAlignment="1">
      <alignment vertical="justify"/>
    </xf>
    <xf numFmtId="0" fontId="70" fillId="0" borderId="3" xfId="237" applyFont="1" applyFill="1" applyBorder="1" applyAlignment="1">
      <alignment horizontal="center" vertical="center"/>
    </xf>
    <xf numFmtId="49" fontId="10" fillId="0" borderId="3" xfId="237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4" fillId="0" borderId="0" xfId="237" applyNumberFormat="1" applyFont="1" applyFill="1" applyBorder="1" applyAlignment="1">
      <alignment vertical="center" wrapText="1"/>
    </xf>
    <xf numFmtId="0" fontId="5" fillId="27" borderId="3" xfId="0" applyFont="1" applyFill="1" applyBorder="1" applyAlignment="1">
      <alignment horizontal="left" vertical="center" wrapText="1"/>
    </xf>
    <xf numFmtId="0" fontId="4" fillId="27" borderId="3" xfId="0" applyFont="1" applyFill="1" applyBorder="1" applyAlignment="1">
      <alignment horizontal="left" vertical="center" wrapText="1"/>
    </xf>
    <xf numFmtId="0" fontId="13" fillId="0" borderId="0" xfId="285"/>
    <xf numFmtId="0" fontId="13" fillId="0" borderId="0" xfId="285" applyFont="1" applyFill="1" applyBorder="1" applyAlignment="1">
      <alignment vertical="center" wrapText="1"/>
    </xf>
    <xf numFmtId="0" fontId="13" fillId="0" borderId="3" xfId="285" applyFont="1" applyFill="1" applyBorder="1" applyAlignment="1" applyProtection="1">
      <alignment horizontal="center" vertical="center" wrapText="1"/>
      <protection locked="0"/>
    </xf>
    <xf numFmtId="0" fontId="13" fillId="0" borderId="0" xfId="285" applyFont="1" applyFill="1" applyBorder="1" applyAlignment="1" applyProtection="1">
      <alignment horizontal="center" vertical="center" wrapText="1"/>
      <protection locked="0"/>
    </xf>
    <xf numFmtId="0" fontId="13" fillId="0" borderId="0" xfId="285" applyFont="1" applyBorder="1" applyAlignment="1" applyProtection="1">
      <alignment horizontal="center" vertical="center" wrapText="1"/>
      <protection locked="0"/>
    </xf>
    <xf numFmtId="0" fontId="13" fillId="0" borderId="0" xfId="285" applyBorder="1" applyAlignment="1">
      <alignment vertical="center" wrapText="1"/>
    </xf>
    <xf numFmtId="0" fontId="13" fillId="0" borderId="0" xfId="285" applyFont="1" applyAlignment="1" applyProtection="1">
      <protection locked="0"/>
    </xf>
    <xf numFmtId="0" fontId="13" fillId="0" borderId="0" xfId="285" applyFont="1" applyProtection="1">
      <protection locked="0"/>
    </xf>
    <xf numFmtId="0" fontId="13" fillId="0" borderId="0" xfId="285" applyBorder="1" applyAlignment="1" applyProtection="1">
      <alignment horizontal="center" vertical="center"/>
      <protection locked="0"/>
    </xf>
    <xf numFmtId="0" fontId="13" fillId="0" borderId="0" xfId="285" applyAlignment="1">
      <alignment horizontal="center" vertical="center"/>
    </xf>
    <xf numFmtId="0" fontId="13" fillId="0" borderId="0" xfId="285" applyFont="1" applyBorder="1" applyAlignment="1">
      <alignment horizontal="center" vertical="center"/>
    </xf>
    <xf numFmtId="0" fontId="50" fillId="0" borderId="0" xfId="285" applyFont="1" applyBorder="1" applyAlignment="1">
      <alignment horizontal="center" vertical="center"/>
    </xf>
    <xf numFmtId="0" fontId="50" fillId="0" borderId="0" xfId="285" applyFont="1" applyBorder="1" applyAlignment="1">
      <alignment horizontal="left" vertical="center"/>
    </xf>
    <xf numFmtId="0" fontId="50" fillId="0" borderId="0" xfId="285" applyFont="1" applyBorder="1" applyAlignment="1">
      <alignment horizontal="center"/>
    </xf>
    <xf numFmtId="0" fontId="13" fillId="0" borderId="0" xfId="285" applyAlignment="1">
      <alignment horizontal="center"/>
    </xf>
    <xf numFmtId="0" fontId="50" fillId="0" borderId="0" xfId="285" applyFont="1" applyBorder="1" applyAlignment="1">
      <alignment horizontal="left"/>
    </xf>
    <xf numFmtId="0" fontId="13" fillId="0" borderId="17" xfId="285" applyFont="1" applyBorder="1" applyAlignment="1" applyProtection="1">
      <alignment horizontal="right" vertical="center" wrapText="1"/>
      <protection locked="0"/>
    </xf>
    <xf numFmtId="0" fontId="13" fillId="0" borderId="18" xfId="285" applyFont="1" applyBorder="1" applyAlignment="1" applyProtection="1">
      <alignment horizontal="right" vertical="center" wrapText="1"/>
      <protection locked="0"/>
    </xf>
    <xf numFmtId="2" fontId="13" fillId="0" borderId="18" xfId="285" applyNumberFormat="1" applyFont="1" applyBorder="1" applyAlignment="1" applyProtection="1">
      <alignment horizontal="right" vertical="center" wrapText="1"/>
      <protection locked="0"/>
    </xf>
    <xf numFmtId="0" fontId="13" fillId="0" borderId="18" xfId="285" applyFont="1" applyBorder="1" applyAlignment="1" applyProtection="1">
      <alignment horizontal="center" vertical="center" wrapText="1"/>
      <protection locked="0"/>
    </xf>
    <xf numFmtId="0" fontId="13" fillId="0" borderId="19" xfId="285" applyFont="1" applyBorder="1" applyAlignment="1">
      <alignment horizontal="left" vertical="center" wrapText="1"/>
    </xf>
    <xf numFmtId="0" fontId="50" fillId="0" borderId="20" xfId="285" applyFont="1" applyBorder="1" applyAlignment="1" applyProtection="1">
      <alignment horizontal="right" vertical="center" wrapText="1"/>
      <protection locked="0"/>
    </xf>
    <xf numFmtId="0" fontId="50" fillId="0" borderId="21" xfId="285" applyFont="1" applyBorder="1" applyAlignment="1" applyProtection="1">
      <alignment horizontal="right" vertical="center" wrapText="1"/>
      <protection locked="0"/>
    </xf>
    <xf numFmtId="2" fontId="50" fillId="0" borderId="21" xfId="285" applyNumberFormat="1" applyFont="1" applyBorder="1" applyAlignment="1" applyProtection="1">
      <alignment horizontal="right" vertical="center" wrapText="1"/>
      <protection locked="0"/>
    </xf>
    <xf numFmtId="0" fontId="50" fillId="0" borderId="21" xfId="285" applyFont="1" applyBorder="1" applyAlignment="1" applyProtection="1">
      <alignment horizontal="center" vertical="center" wrapText="1"/>
      <protection locked="0"/>
    </xf>
    <xf numFmtId="0" fontId="50" fillId="0" borderId="22" xfId="285" applyFont="1" applyBorder="1" applyAlignment="1">
      <alignment horizontal="left" vertical="center" wrapText="1"/>
    </xf>
    <xf numFmtId="0" fontId="50" fillId="0" borderId="23" xfId="285" applyFont="1" applyBorder="1" applyAlignment="1">
      <alignment horizontal="center" vertical="center" wrapText="1"/>
    </xf>
    <xf numFmtId="0" fontId="50" fillId="0" borderId="24" xfId="285" applyFont="1" applyBorder="1" applyAlignment="1">
      <alignment horizontal="center" vertical="center" wrapText="1"/>
    </xf>
    <xf numFmtId="0" fontId="50" fillId="0" borderId="25" xfId="285" applyFont="1" applyBorder="1" applyAlignment="1">
      <alignment horizontal="center" vertical="center" wrapText="1"/>
    </xf>
    <xf numFmtId="0" fontId="13" fillId="0" borderId="0" xfId="285" applyAlignment="1">
      <alignment horizontal="center" vertical="center" wrapText="1"/>
    </xf>
    <xf numFmtId="178" fontId="5" fillId="0" borderId="3" xfId="0" applyNumberFormat="1" applyFont="1" applyFill="1" applyBorder="1" applyAlignment="1">
      <alignment vertical="center" wrapText="1"/>
    </xf>
    <xf numFmtId="178" fontId="5" fillId="29" borderId="3" xfId="0" applyNumberFormat="1" applyFont="1" applyFill="1" applyBorder="1" applyAlignment="1">
      <alignment vertical="center" wrapText="1"/>
    </xf>
    <xf numFmtId="0" fontId="13" fillId="0" borderId="0" xfId="285" applyFont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49" fontId="71" fillId="0" borderId="3" xfId="0" applyNumberFormat="1" applyFont="1" applyFill="1" applyBorder="1" applyAlignment="1">
      <alignment horizontal="left" vertical="center" wrapText="1"/>
    </xf>
    <xf numFmtId="172" fontId="10" fillId="29" borderId="3" xfId="0" applyNumberFormat="1" applyFont="1" applyFill="1" applyBorder="1" applyAlignment="1">
      <alignment horizontal="center" vertical="center" wrapText="1"/>
    </xf>
    <xf numFmtId="0" fontId="12" fillId="0" borderId="3" xfId="0" quotePrefix="1" applyFont="1" applyFill="1" applyBorder="1" applyAlignment="1">
      <alignment horizontal="center" vertical="center"/>
    </xf>
    <xf numFmtId="179" fontId="5" fillId="29" borderId="3" xfId="0" applyNumberFormat="1" applyFont="1" applyFill="1" applyBorder="1" applyAlignment="1">
      <alignment horizontal="center" vertical="center" wrapText="1"/>
    </xf>
    <xf numFmtId="178" fontId="10" fillId="0" borderId="3" xfId="0" applyNumberFormat="1" applyFont="1" applyFill="1" applyBorder="1" applyAlignment="1">
      <alignment horizontal="center" vertical="center" wrapText="1"/>
    </xf>
    <xf numFmtId="180" fontId="50" fillId="0" borderId="21" xfId="285" applyNumberFormat="1" applyFont="1" applyBorder="1" applyAlignment="1" applyProtection="1">
      <alignment horizontal="center" vertical="center" wrapText="1"/>
      <protection locked="0"/>
    </xf>
    <xf numFmtId="180" fontId="13" fillId="0" borderId="18" xfId="285" applyNumberFormat="1" applyFont="1" applyBorder="1" applyAlignment="1" applyProtection="1">
      <alignment horizontal="right" vertical="center" wrapText="1"/>
      <protection locked="0"/>
    </xf>
    <xf numFmtId="0" fontId="13" fillId="0" borderId="26" xfId="285" applyBorder="1" applyAlignment="1">
      <alignment horizontal="center" vertical="center"/>
    </xf>
    <xf numFmtId="0" fontId="13" fillId="0" borderId="26" xfId="285" applyFont="1" applyFill="1" applyBorder="1" applyAlignment="1" applyProtection="1">
      <alignment horizontal="center" vertical="center" wrapText="1"/>
      <protection locked="0"/>
    </xf>
    <xf numFmtId="0" fontId="77" fillId="0" borderId="26" xfId="285" applyFont="1" applyFill="1" applyBorder="1" applyAlignment="1" applyProtection="1">
      <alignment horizontal="left" vertical="center" wrapText="1"/>
      <protection locked="0"/>
    </xf>
    <xf numFmtId="0" fontId="77" fillId="0" borderId="26" xfId="285" applyFont="1" applyFill="1" applyBorder="1" applyAlignment="1" applyProtection="1">
      <alignment horizontal="center" vertical="center" wrapText="1"/>
      <protection locked="0"/>
    </xf>
    <xf numFmtId="0" fontId="81" fillId="0" borderId="26" xfId="285" applyFont="1" applyFill="1" applyBorder="1" applyAlignment="1" applyProtection="1">
      <alignment horizontal="left" vertical="center" wrapText="1"/>
      <protection locked="0"/>
    </xf>
    <xf numFmtId="0" fontId="81" fillId="0" borderId="26" xfId="285" applyFont="1" applyFill="1" applyBorder="1" applyAlignment="1" applyProtection="1">
      <alignment horizontal="center" vertical="center" wrapText="1"/>
      <protection locked="0"/>
    </xf>
    <xf numFmtId="0" fontId="13" fillId="0" borderId="0" xfId="285" applyBorder="1" applyAlignment="1">
      <alignment horizontal="center" vertical="center"/>
    </xf>
    <xf numFmtId="0" fontId="46" fillId="0" borderId="0" xfId="285" applyFont="1" applyAlignment="1" applyProtection="1">
      <alignment vertical="center"/>
      <protection locked="0"/>
    </xf>
    <xf numFmtId="0" fontId="82" fillId="0" borderId="0" xfId="0" applyFont="1" applyAlignment="1">
      <alignment vertical="center"/>
    </xf>
    <xf numFmtId="49" fontId="70" fillId="0" borderId="0" xfId="0" applyNumberFormat="1" applyFont="1" applyBorder="1" applyAlignment="1" applyProtection="1">
      <protection locked="0"/>
    </xf>
    <xf numFmtId="180" fontId="78" fillId="31" borderId="24" xfId="285" applyNumberFormat="1" applyFont="1" applyFill="1" applyBorder="1" applyAlignment="1">
      <alignment horizontal="center" vertical="center" wrapText="1"/>
    </xf>
    <xf numFmtId="2" fontId="78" fillId="31" borderId="24" xfId="285" applyNumberFormat="1" applyFont="1" applyFill="1" applyBorder="1" applyAlignment="1">
      <alignment horizontal="right" vertical="center" wrapText="1"/>
    </xf>
    <xf numFmtId="177" fontId="5" fillId="29" borderId="3" xfId="0" applyNumberFormat="1" applyFont="1" applyFill="1" applyBorder="1" applyAlignment="1">
      <alignment horizontal="center" vertical="center" wrapText="1"/>
    </xf>
    <xf numFmtId="181" fontId="70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Border="1" applyAlignment="1"/>
    <xf numFmtId="0" fontId="70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left" wrapText="1"/>
    </xf>
    <xf numFmtId="177" fontId="10" fillId="0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0" fontId="70" fillId="0" borderId="3" xfId="0" quotePrefix="1" applyNumberFormat="1" applyFont="1" applyFill="1" applyBorder="1" applyAlignment="1">
      <alignment horizontal="center" vertical="center"/>
    </xf>
    <xf numFmtId="0" fontId="72" fillId="0" borderId="3" xfId="0" applyNumberFormat="1" applyFont="1" applyFill="1" applyBorder="1" applyAlignment="1">
      <alignment horizontal="center" vertical="center"/>
    </xf>
    <xf numFmtId="0" fontId="70" fillId="0" borderId="3" xfId="0" applyNumberFormat="1" applyFont="1" applyFill="1" applyBorder="1" applyAlignment="1">
      <alignment horizontal="center" vertical="center"/>
    </xf>
    <xf numFmtId="0" fontId="72" fillId="0" borderId="3" xfId="0" quotePrefix="1" applyNumberFormat="1" applyFont="1" applyFill="1" applyBorder="1" applyAlignment="1">
      <alignment horizontal="center" vertical="center"/>
    </xf>
    <xf numFmtId="0" fontId="70" fillId="0" borderId="14" xfId="0" applyNumberFormat="1" applyFont="1" applyFill="1" applyBorder="1" applyAlignment="1">
      <alignment horizontal="center" vertical="center"/>
    </xf>
    <xf numFmtId="0" fontId="72" fillId="0" borderId="14" xfId="0" applyNumberFormat="1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 wrapText="1"/>
    </xf>
    <xf numFmtId="182" fontId="0" fillId="0" borderId="26" xfId="0" applyNumberFormat="1" applyBorder="1" applyAlignment="1" applyProtection="1">
      <alignment vertical="center"/>
      <protection locked="0"/>
    </xf>
    <xf numFmtId="169" fontId="0" fillId="0" borderId="26" xfId="0" applyNumberFormat="1" applyFill="1" applyBorder="1" applyAlignment="1" applyProtection="1">
      <alignment vertical="center"/>
      <protection locked="0"/>
    </xf>
    <xf numFmtId="169" fontId="0" fillId="0" borderId="26" xfId="0" applyNumberFormat="1" applyBorder="1" applyAlignment="1" applyProtection="1">
      <alignment vertical="center"/>
      <protection locked="0"/>
    </xf>
    <xf numFmtId="182" fontId="0" fillId="0" borderId="26" xfId="0" applyNumberForma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 wrapText="1"/>
    </xf>
    <xf numFmtId="0" fontId="70" fillId="0" borderId="0" xfId="0" applyFont="1" applyFill="1" applyBorder="1" applyAlignment="1">
      <alignment horizontal="left" vertical="justify" wrapText="1"/>
    </xf>
    <xf numFmtId="0" fontId="15" fillId="0" borderId="0" xfId="0" applyFont="1"/>
    <xf numFmtId="0" fontId="85" fillId="0" borderId="0" xfId="0" applyFont="1" applyBorder="1" applyAlignment="1">
      <alignment horizontal="center" vertical="top" wrapText="1"/>
    </xf>
    <xf numFmtId="0" fontId="85" fillId="0" borderId="0" xfId="0" applyFont="1" applyBorder="1" applyAlignment="1" applyProtection="1">
      <alignment horizontal="center" vertical="top" wrapText="1"/>
      <protection locked="0"/>
    </xf>
    <xf numFmtId="169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/>
    </xf>
    <xf numFmtId="0" fontId="86" fillId="0" borderId="0" xfId="0" applyFont="1"/>
    <xf numFmtId="0" fontId="88" fillId="0" borderId="3" xfId="0" applyFont="1" applyFill="1" applyBorder="1" applyAlignment="1">
      <alignment horizontal="left" vertical="center" wrapText="1"/>
    </xf>
    <xf numFmtId="179" fontId="4" fillId="29" borderId="3" xfId="0" applyNumberFormat="1" applyFont="1" applyFill="1" applyBorder="1" applyAlignment="1">
      <alignment horizontal="center" vertical="center" wrapText="1"/>
    </xf>
    <xf numFmtId="169" fontId="4" fillId="29" borderId="26" xfId="0" applyNumberFormat="1" applyFont="1" applyFill="1" applyBorder="1" applyAlignment="1" applyProtection="1">
      <alignment vertical="center"/>
      <protection locked="0"/>
    </xf>
    <xf numFmtId="169" fontId="89" fillId="0" borderId="26" xfId="0" applyNumberFormat="1" applyFont="1" applyBorder="1" applyAlignment="1" applyProtection="1">
      <alignment vertical="center"/>
      <protection locked="0"/>
    </xf>
    <xf numFmtId="0" fontId="9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70" fillId="0" borderId="3" xfId="245" applyFont="1" applyFill="1" applyBorder="1" applyAlignment="1">
      <alignment horizontal="center" vertical="center"/>
    </xf>
    <xf numFmtId="179" fontId="10" fillId="0" borderId="3" xfId="0" applyNumberFormat="1" applyFont="1" applyFill="1" applyBorder="1" applyAlignment="1">
      <alignment horizontal="center" vertical="center" wrapText="1"/>
    </xf>
    <xf numFmtId="179" fontId="5" fillId="30" borderId="3" xfId="0" applyNumberFormat="1" applyFont="1" applyFill="1" applyBorder="1" applyAlignment="1">
      <alignment horizontal="center" vertical="center" wrapText="1"/>
    </xf>
    <xf numFmtId="0" fontId="80" fillId="0" borderId="0" xfId="0" applyFont="1" applyFill="1" applyAlignment="1">
      <alignment vertical="center"/>
    </xf>
    <xf numFmtId="0" fontId="90" fillId="0" borderId="0" xfId="0" applyFont="1" applyBorder="1" applyAlignment="1" applyProtection="1">
      <protection locked="0"/>
    </xf>
    <xf numFmtId="0" fontId="85" fillId="0" borderId="0" xfId="0" applyFont="1" applyBorder="1" applyAlignment="1" applyProtection="1">
      <alignment vertical="top" wrapText="1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 shrinkToFit="1"/>
    </xf>
    <xf numFmtId="0" fontId="10" fillId="0" borderId="0" xfId="0" applyFont="1" applyFill="1" applyAlignment="1">
      <alignment vertical="center" wrapText="1" shrinkToFit="1"/>
    </xf>
    <xf numFmtId="179" fontId="71" fillId="0" borderId="3" xfId="0" applyNumberFormat="1" applyFont="1" applyFill="1" applyBorder="1" applyAlignment="1">
      <alignment horizontal="center" vertical="center" wrapText="1"/>
    </xf>
    <xf numFmtId="179" fontId="4" fillId="30" borderId="3" xfId="0" applyNumberFormat="1" applyFont="1" applyFill="1" applyBorder="1" applyAlignment="1">
      <alignment horizontal="center" vertical="center" wrapText="1"/>
    </xf>
    <xf numFmtId="179" fontId="9" fillId="30" borderId="3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/>
    <xf numFmtId="4" fontId="5" fillId="0" borderId="3" xfId="237" applyNumberFormat="1" applyFont="1" applyFill="1" applyBorder="1" applyAlignment="1">
      <alignment horizontal="center" vertical="center" wrapText="1"/>
    </xf>
    <xf numFmtId="183" fontId="5" fillId="0" borderId="3" xfId="0" applyNumberFormat="1" applyFont="1" applyFill="1" applyBorder="1" applyAlignment="1">
      <alignment horizontal="center" vertical="center" wrapText="1"/>
    </xf>
    <xf numFmtId="179" fontId="9" fillId="29" borderId="3" xfId="0" applyNumberFormat="1" applyFont="1" applyFill="1" applyBorder="1" applyAlignment="1">
      <alignment horizontal="center" vertical="center" wrapText="1"/>
    </xf>
    <xf numFmtId="0" fontId="79" fillId="0" borderId="3" xfId="0" quotePrefix="1" applyFont="1" applyFill="1" applyBorder="1" applyAlignment="1">
      <alignment horizontal="center" vertical="center"/>
    </xf>
    <xf numFmtId="0" fontId="80" fillId="0" borderId="3" xfId="0" quotePrefix="1" applyFont="1" applyFill="1" applyBorder="1" applyAlignment="1">
      <alignment horizontal="center" vertical="center"/>
    </xf>
    <xf numFmtId="179" fontId="88" fillId="0" borderId="3" xfId="0" applyNumberFormat="1" applyFont="1" applyFill="1" applyBorder="1" applyAlignment="1">
      <alignment horizontal="center" vertical="center" wrapText="1"/>
    </xf>
    <xf numFmtId="0" fontId="10" fillId="0" borderId="0" xfId="245" applyFont="1" applyFill="1" applyBorder="1" applyAlignment="1">
      <alignment vertical="center"/>
    </xf>
    <xf numFmtId="0" fontId="10" fillId="0" borderId="0" xfId="245" applyFont="1" applyFill="1" applyBorder="1" applyAlignment="1">
      <alignment horizontal="center" vertical="center"/>
    </xf>
    <xf numFmtId="0" fontId="8" fillId="0" borderId="3" xfId="245" applyFont="1" applyFill="1" applyBorder="1" applyAlignment="1">
      <alignment horizontal="left" vertical="center" wrapText="1"/>
    </xf>
    <xf numFmtId="183" fontId="5" fillId="29" borderId="3" xfId="0" applyNumberFormat="1" applyFont="1" applyFill="1" applyBorder="1" applyAlignment="1">
      <alignment horizontal="center" vertical="center" wrapText="1"/>
    </xf>
    <xf numFmtId="181" fontId="5" fillId="0" borderId="0" xfId="0" applyNumberFormat="1" applyFont="1" applyFill="1" applyAlignment="1">
      <alignment vertical="center"/>
    </xf>
    <xf numFmtId="0" fontId="5" fillId="0" borderId="27" xfId="0" applyFont="1" applyFill="1" applyBorder="1" applyAlignment="1">
      <alignment vertical="center" wrapText="1" shrinkToFit="1"/>
    </xf>
    <xf numFmtId="0" fontId="5" fillId="0" borderId="27" xfId="0" applyFont="1" applyFill="1" applyBorder="1" applyAlignment="1">
      <alignment vertical="center"/>
    </xf>
    <xf numFmtId="0" fontId="14" fillId="0" borderId="0" xfId="257" applyAlignment="1">
      <alignment horizontal="center" vertical="center"/>
    </xf>
    <xf numFmtId="0" fontId="14" fillId="0" borderId="0" xfId="257" applyAlignment="1">
      <alignment vertical="center"/>
    </xf>
    <xf numFmtId="0" fontId="85" fillId="0" borderId="0" xfId="257" applyFont="1" applyAlignment="1">
      <alignment vertical="center" wrapText="1"/>
    </xf>
    <xf numFmtId="0" fontId="98" fillId="0" borderId="0" xfId="257" applyFont="1" applyAlignment="1">
      <alignment vertical="center" wrapText="1"/>
    </xf>
    <xf numFmtId="4" fontId="14" fillId="0" borderId="0" xfId="257" applyNumberFormat="1" applyAlignment="1">
      <alignment vertical="center"/>
    </xf>
    <xf numFmtId="4" fontId="14" fillId="0" borderId="0" xfId="257" applyNumberFormat="1" applyAlignment="1">
      <alignment horizontal="center" vertical="center"/>
    </xf>
    <xf numFmtId="0" fontId="74" fillId="0" borderId="26" xfId="257" applyFont="1" applyBorder="1" applyAlignment="1">
      <alignment horizontal="center" vertical="center" wrapText="1"/>
    </xf>
    <xf numFmtId="0" fontId="74" fillId="0" borderId="28" xfId="257" applyFont="1" applyBorder="1" applyAlignment="1">
      <alignment horizontal="center" vertical="center" wrapText="1"/>
    </xf>
    <xf numFmtId="0" fontId="74" fillId="0" borderId="29" xfId="257" applyFont="1" applyBorder="1" applyAlignment="1" applyProtection="1">
      <alignment horizontal="center" vertical="center" textRotation="90"/>
      <protection locked="0"/>
    </xf>
    <xf numFmtId="2" fontId="74" fillId="0" borderId="29" xfId="257" applyNumberFormat="1" applyFont="1" applyBorder="1" applyAlignment="1" applyProtection="1">
      <alignment horizontal="center" vertical="center" textRotation="90"/>
      <protection locked="0"/>
    </xf>
    <xf numFmtId="0" fontId="14" fillId="32" borderId="29" xfId="257" applyFill="1" applyBorder="1" applyAlignment="1">
      <alignment horizontal="center" vertical="center"/>
    </xf>
    <xf numFmtId="0" fontId="14" fillId="32" borderId="29" xfId="257" applyFont="1" applyFill="1" applyBorder="1" applyAlignment="1">
      <alignment vertical="center"/>
    </xf>
    <xf numFmtId="0" fontId="99" fillId="32" borderId="29" xfId="257" applyFont="1" applyFill="1" applyBorder="1" applyAlignment="1">
      <alignment vertical="center"/>
    </xf>
    <xf numFmtId="177" fontId="5" fillId="0" borderId="30" xfId="0" applyNumberFormat="1" applyFont="1" applyFill="1" applyBorder="1" applyAlignment="1">
      <alignment horizontal="center" vertical="center" wrapText="1"/>
    </xf>
    <xf numFmtId="0" fontId="99" fillId="32" borderId="26" xfId="257" applyFont="1" applyFill="1" applyBorder="1" applyAlignment="1">
      <alignment horizontal="center" vertical="center"/>
    </xf>
    <xf numFmtId="184" fontId="99" fillId="32" borderId="26" xfId="257" applyNumberFormat="1" applyFont="1" applyFill="1" applyBorder="1" applyAlignment="1">
      <alignment vertical="center"/>
    </xf>
    <xf numFmtId="2" fontId="99" fillId="32" borderId="26" xfId="257" applyNumberFormat="1" applyFont="1" applyFill="1" applyBorder="1" applyAlignment="1">
      <alignment vertical="center"/>
    </xf>
    <xf numFmtId="2" fontId="14" fillId="33" borderId="0" xfId="257" applyNumberFormat="1" applyFill="1" applyAlignment="1">
      <alignment vertical="center"/>
    </xf>
    <xf numFmtId="184" fontId="14" fillId="32" borderId="31" xfId="257" applyNumberFormat="1" applyFill="1" applyBorder="1" applyAlignment="1">
      <alignment vertical="center"/>
    </xf>
    <xf numFmtId="0" fontId="14" fillId="0" borderId="3" xfId="257" applyBorder="1" applyAlignment="1">
      <alignment horizontal="center" vertical="center"/>
    </xf>
    <xf numFmtId="0" fontId="10" fillId="34" borderId="3" xfId="257" applyFont="1" applyFill="1" applyBorder="1" applyAlignment="1" applyProtection="1">
      <alignment vertical="center" wrapText="1"/>
      <protection locked="0"/>
    </xf>
    <xf numFmtId="0" fontId="99" fillId="0" borderId="3" xfId="257" applyFont="1" applyFill="1" applyBorder="1" applyAlignment="1" applyProtection="1">
      <alignment horizontal="center" vertical="center"/>
      <protection locked="0"/>
    </xf>
    <xf numFmtId="0" fontId="99" fillId="0" borderId="32" xfId="257" applyFont="1" applyBorder="1" applyAlignment="1" applyProtection="1">
      <alignment horizontal="center" vertical="center"/>
      <protection locked="0"/>
    </xf>
    <xf numFmtId="2" fontId="99" fillId="0" borderId="26" xfId="257" applyNumberFormat="1" applyFont="1" applyBorder="1" applyAlignment="1" applyProtection="1">
      <alignment vertical="center"/>
      <protection locked="0"/>
    </xf>
    <xf numFmtId="168" fontId="99" fillId="0" borderId="26" xfId="257" applyNumberFormat="1" applyFont="1" applyBorder="1" applyAlignment="1" applyProtection="1">
      <alignment vertical="center"/>
      <protection locked="0"/>
    </xf>
    <xf numFmtId="10" fontId="99" fillId="32" borderId="26" xfId="257" applyNumberFormat="1" applyFont="1" applyFill="1" applyBorder="1" applyAlignment="1">
      <alignment vertical="center"/>
    </xf>
    <xf numFmtId="2" fontId="14" fillId="0" borderId="0" xfId="257" applyNumberFormat="1" applyAlignment="1">
      <alignment vertical="center"/>
    </xf>
    <xf numFmtId="0" fontId="14" fillId="0" borderId="3" xfId="257" applyBorder="1" applyAlignment="1">
      <alignment vertical="center"/>
    </xf>
    <xf numFmtId="0" fontId="70" fillId="0" borderId="3" xfId="257" applyFont="1" applyFill="1" applyBorder="1" applyAlignment="1" applyProtection="1">
      <alignment horizontal="center" vertical="center" wrapText="1"/>
      <protection locked="0"/>
    </xf>
    <xf numFmtId="0" fontId="99" fillId="0" borderId="32" xfId="257" applyFont="1" applyFill="1" applyBorder="1" applyAlignment="1" applyProtection="1">
      <alignment horizontal="center" vertical="center"/>
      <protection locked="0"/>
    </xf>
    <xf numFmtId="0" fontId="10" fillId="0" borderId="3" xfId="257" applyFont="1" applyFill="1" applyBorder="1" applyAlignment="1" applyProtection="1">
      <alignment vertical="center"/>
      <protection locked="0"/>
    </xf>
    <xf numFmtId="0" fontId="10" fillId="0" borderId="3" xfId="257" applyFont="1" applyFill="1" applyBorder="1" applyAlignment="1" applyProtection="1">
      <alignment vertical="center" wrapText="1"/>
      <protection locked="0"/>
    </xf>
    <xf numFmtId="0" fontId="99" fillId="0" borderId="3" xfId="257" applyFont="1" applyBorder="1" applyAlignment="1" applyProtection="1">
      <alignment horizontal="center" vertical="center"/>
      <protection locked="0"/>
    </xf>
    <xf numFmtId="0" fontId="46" fillId="0" borderId="3" xfId="257" applyFont="1" applyFill="1" applyBorder="1" applyAlignment="1" applyProtection="1">
      <alignment horizontal="center" vertical="center"/>
      <protection locked="0"/>
    </xf>
    <xf numFmtId="0" fontId="70" fillId="0" borderId="3" xfId="257" applyFont="1" applyFill="1" applyBorder="1" applyAlignment="1" applyProtection="1">
      <alignment horizontal="center" vertical="center"/>
      <protection locked="0"/>
    </xf>
    <xf numFmtId="0" fontId="70" fillId="0" borderId="3" xfId="257" applyFont="1" applyBorder="1" applyAlignment="1" applyProtection="1">
      <alignment horizontal="center" vertical="center" wrapText="1"/>
      <protection locked="0"/>
    </xf>
    <xf numFmtId="0" fontId="10" fillId="34" borderId="3" xfId="257" applyFont="1" applyFill="1" applyBorder="1" applyAlignment="1" applyProtection="1">
      <alignment horizontal="left" vertical="center" wrapText="1"/>
      <protection locked="0"/>
    </xf>
    <xf numFmtId="0" fontId="10" fillId="0" borderId="3" xfId="257" applyFont="1" applyFill="1" applyBorder="1" applyAlignment="1" applyProtection="1">
      <alignment horizontal="left" vertical="center" wrapText="1"/>
      <protection locked="0"/>
    </xf>
    <xf numFmtId="0" fontId="14" fillId="0" borderId="3" xfId="257" applyFill="1" applyBorder="1" applyAlignment="1">
      <alignment horizontal="center" vertical="center"/>
    </xf>
    <xf numFmtId="0" fontId="10" fillId="35" borderId="3" xfId="257" applyFont="1" applyFill="1" applyBorder="1" applyAlignment="1" applyProtection="1">
      <alignment vertical="center" wrapText="1"/>
      <protection locked="0"/>
    </xf>
    <xf numFmtId="0" fontId="10" fillId="35" borderId="3" xfId="257" applyFont="1" applyFill="1" applyBorder="1" applyAlignment="1" applyProtection="1">
      <alignment horizontal="left" vertical="center" wrapText="1"/>
      <protection locked="0"/>
    </xf>
    <xf numFmtId="0" fontId="10" fillId="0" borderId="3" xfId="257" applyFont="1" applyBorder="1" applyAlignment="1" applyProtection="1">
      <alignment vertical="center" wrapText="1"/>
      <protection locked="0"/>
    </xf>
    <xf numFmtId="0" fontId="10" fillId="0" borderId="3" xfId="257" applyFont="1" applyBorder="1" applyAlignment="1" applyProtection="1">
      <alignment vertical="center"/>
      <protection locked="0"/>
    </xf>
    <xf numFmtId="0" fontId="14" fillId="0" borderId="0" xfId="257" applyBorder="1" applyAlignment="1">
      <alignment horizontal="center" vertical="center"/>
    </xf>
    <xf numFmtId="0" fontId="10" fillId="0" borderId="0" xfId="257" applyFont="1" applyFill="1" applyBorder="1" applyAlignment="1" applyProtection="1">
      <alignment vertical="center" wrapText="1"/>
      <protection locked="0"/>
    </xf>
    <xf numFmtId="0" fontId="10" fillId="0" borderId="0" xfId="257" applyFont="1" applyBorder="1" applyAlignment="1" applyProtection="1">
      <alignment horizontal="center" vertical="center" wrapText="1"/>
      <protection locked="0"/>
    </xf>
    <xf numFmtId="0" fontId="14" fillId="0" borderId="0" xfId="257" applyBorder="1" applyAlignment="1" applyProtection="1">
      <alignment horizontal="center" vertical="center"/>
      <protection locked="0"/>
    </xf>
    <xf numFmtId="168" fontId="14" fillId="0" borderId="0" xfId="257" applyNumberFormat="1" applyBorder="1" applyAlignment="1" applyProtection="1">
      <alignment vertical="center"/>
      <protection locked="0"/>
    </xf>
    <xf numFmtId="2" fontId="14" fillId="0" borderId="0" xfId="257" applyNumberFormat="1" applyFill="1" applyBorder="1" applyAlignment="1">
      <alignment vertical="center"/>
    </xf>
    <xf numFmtId="10" fontId="14" fillId="0" borderId="0" xfId="257" applyNumberFormat="1" applyFill="1" applyBorder="1" applyAlignment="1">
      <alignment vertical="center"/>
    </xf>
    <xf numFmtId="168" fontId="14" fillId="0" borderId="0" xfId="257" applyNumberFormat="1" applyFill="1" applyBorder="1" applyAlignment="1" applyProtection="1">
      <alignment vertical="center"/>
      <protection locked="0"/>
    </xf>
    <xf numFmtId="184" fontId="14" fillId="0" borderId="0" xfId="257" applyNumberFormat="1" applyFill="1" applyBorder="1" applyAlignment="1">
      <alignment vertical="center"/>
    </xf>
    <xf numFmtId="0" fontId="14" fillId="0" borderId="0" xfId="257" applyAlignment="1" applyProtection="1">
      <alignment vertical="center"/>
      <protection locked="0"/>
    </xf>
    <xf numFmtId="0" fontId="14" fillId="0" borderId="0" xfId="257" applyAlignment="1" applyProtection="1">
      <alignment horizontal="center" vertical="center"/>
      <protection locked="0"/>
    </xf>
    <xf numFmtId="0" fontId="14" fillId="0" borderId="26" xfId="257" applyBorder="1" applyAlignment="1">
      <alignment horizontal="center" vertical="center"/>
    </xf>
    <xf numFmtId="0" fontId="14" fillId="0" borderId="26" xfId="257" applyFont="1" applyBorder="1" applyAlignment="1" applyProtection="1">
      <alignment vertical="center"/>
      <protection locked="0"/>
    </xf>
    <xf numFmtId="168" fontId="14" fillId="0" borderId="26" xfId="257" applyNumberFormat="1" applyBorder="1" applyAlignment="1" applyProtection="1">
      <alignment vertical="center"/>
      <protection locked="0"/>
    </xf>
    <xf numFmtId="168" fontId="14" fillId="0" borderId="0" xfId="257" applyNumberFormat="1" applyAlignment="1">
      <alignment vertical="center"/>
    </xf>
    <xf numFmtId="168" fontId="14" fillId="0" borderId="26" xfId="257" applyNumberFormat="1" applyBorder="1" applyAlignment="1" applyProtection="1">
      <alignment horizontal="center" vertical="center"/>
      <protection locked="0"/>
    </xf>
    <xf numFmtId="168" fontId="14" fillId="0" borderId="0" xfId="257" applyNumberFormat="1" applyAlignment="1">
      <alignment horizontal="center" vertical="center"/>
    </xf>
    <xf numFmtId="168" fontId="14" fillId="0" borderId="26" xfId="257" applyNumberFormat="1" applyBorder="1" applyAlignment="1">
      <alignment vertical="center"/>
    </xf>
    <xf numFmtId="168" fontId="14" fillId="0" borderId="26" xfId="257" applyNumberFormat="1" applyBorder="1" applyAlignment="1">
      <alignment horizontal="center" vertical="center"/>
    </xf>
    <xf numFmtId="185" fontId="14" fillId="0" borderId="26" xfId="257" applyNumberFormat="1" applyBorder="1" applyAlignment="1">
      <alignment vertical="center"/>
    </xf>
    <xf numFmtId="2" fontId="100" fillId="0" borderId="0" xfId="0" applyNumberFormat="1" applyFont="1" applyFill="1" applyAlignment="1">
      <alignment horizontal="center" vertical="center"/>
    </xf>
    <xf numFmtId="2" fontId="101" fillId="0" borderId="0" xfId="0" applyNumberFormat="1" applyFont="1" applyAlignment="1">
      <alignment vertical="center"/>
    </xf>
    <xf numFmtId="2" fontId="102" fillId="0" borderId="0" xfId="0" applyNumberFormat="1" applyFont="1" applyAlignment="1">
      <alignment horizontal="right" vertical="center"/>
    </xf>
    <xf numFmtId="2" fontId="103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68" fontId="105" fillId="0" borderId="3" xfId="257" applyNumberFormat="1" applyFont="1" applyBorder="1" applyAlignment="1">
      <alignment horizontal="center" vertical="center"/>
    </xf>
    <xf numFmtId="0" fontId="105" fillId="0" borderId="3" xfId="257" applyFont="1" applyBorder="1" applyAlignment="1">
      <alignment horizontal="center" vertical="center"/>
    </xf>
    <xf numFmtId="2" fontId="14" fillId="0" borderId="26" xfId="257" applyNumberFormat="1" applyBorder="1" applyAlignment="1" applyProtection="1">
      <alignment vertical="center"/>
      <protection locked="0"/>
    </xf>
    <xf numFmtId="0" fontId="72" fillId="29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 shrinkToFit="1"/>
    </xf>
    <xf numFmtId="179" fontId="88" fillId="29" borderId="3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vertical="center" wrapText="1"/>
    </xf>
    <xf numFmtId="177" fontId="5" fillId="29" borderId="3" xfId="0" applyNumberFormat="1" applyFont="1" applyFill="1" applyBorder="1" applyAlignment="1">
      <alignment vertical="center" wrapText="1"/>
    </xf>
    <xf numFmtId="184" fontId="99" fillId="29" borderId="26" xfId="257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>
      <alignment horizontal="left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257" applyFont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wrapText="1"/>
    </xf>
    <xf numFmtId="0" fontId="108" fillId="0" borderId="0" xfId="257" applyFont="1" applyAlignment="1">
      <alignment vertical="center"/>
    </xf>
    <xf numFmtId="179" fontId="10" fillId="29" borderId="3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/>
    </xf>
    <xf numFmtId="0" fontId="5" fillId="0" borderId="0" xfId="237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5" fillId="27" borderId="3" xfId="237" applyNumberFormat="1" applyFont="1" applyFill="1" applyBorder="1" applyAlignment="1">
      <alignment horizontal="left" vertical="center" wrapText="1"/>
    </xf>
    <xf numFmtId="49" fontId="79" fillId="0" borderId="3" xfId="0" applyNumberFormat="1" applyFont="1" applyFill="1" applyBorder="1" applyAlignment="1">
      <alignment horizontal="center" vertical="center"/>
    </xf>
    <xf numFmtId="49" fontId="109" fillId="0" borderId="28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31" borderId="26" xfId="0" applyFont="1" applyFill="1" applyBorder="1" applyAlignment="1">
      <alignment horizontal="left" vertical="center" wrapText="1"/>
    </xf>
    <xf numFmtId="49" fontId="9" fillId="31" borderId="2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49" fontId="8" fillId="0" borderId="26" xfId="0" applyNumberFormat="1" applyFont="1" applyFill="1" applyBorder="1" applyAlignment="1">
      <alignment horizontal="center" vertical="center"/>
    </xf>
    <xf numFmtId="186" fontId="8" fillId="0" borderId="26" xfId="0" applyNumberFormat="1" applyFont="1" applyFill="1" applyBorder="1" applyAlignment="1">
      <alignment horizontal="right" vertical="center"/>
    </xf>
    <xf numFmtId="0" fontId="9" fillId="29" borderId="26" xfId="0" applyFont="1" applyFill="1" applyBorder="1" applyAlignment="1">
      <alignment horizontal="left" vertical="center" wrapText="1"/>
    </xf>
    <xf numFmtId="49" fontId="9" fillId="29" borderId="26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center" vertical="center"/>
    </xf>
    <xf numFmtId="0" fontId="111" fillId="0" borderId="3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186" fontId="8" fillId="0" borderId="3" xfId="0" applyNumberFormat="1" applyFont="1" applyFill="1" applyBorder="1" applyAlignment="1">
      <alignment horizontal="right" vertical="center"/>
    </xf>
    <xf numFmtId="186" fontId="111" fillId="0" borderId="3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8" fillId="29" borderId="29" xfId="0" applyNumberFormat="1" applyFont="1" applyFill="1" applyBorder="1" applyAlignment="1">
      <alignment horizontal="right" vertical="center"/>
    </xf>
    <xf numFmtId="0" fontId="9" fillId="31" borderId="28" xfId="0" applyFont="1" applyFill="1" applyBorder="1" applyAlignment="1">
      <alignment horizontal="left" vertical="center" wrapText="1"/>
    </xf>
    <xf numFmtId="49" fontId="9" fillId="31" borderId="28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49" fontId="8" fillId="0" borderId="28" xfId="0" applyNumberFormat="1" applyFont="1" applyFill="1" applyBorder="1" applyAlignment="1">
      <alignment horizontal="center" vertical="center"/>
    </xf>
    <xf numFmtId="186" fontId="8" fillId="0" borderId="28" xfId="0" applyNumberFormat="1" applyFont="1" applyFill="1" applyBorder="1" applyAlignment="1">
      <alignment horizontal="right" vertical="center"/>
    </xf>
    <xf numFmtId="186" fontId="111" fillId="0" borderId="2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86" fontId="9" fillId="0" borderId="26" xfId="0" applyNumberFormat="1" applyFont="1" applyFill="1" applyBorder="1" applyAlignment="1">
      <alignment horizontal="right" vertical="center"/>
    </xf>
    <xf numFmtId="0" fontId="9" fillId="29" borderId="3" xfId="245" applyFont="1" applyFill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center" vertical="center"/>
    </xf>
    <xf numFmtId="0" fontId="9" fillId="29" borderId="3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33" xfId="0" applyFont="1" applyBorder="1" applyAlignment="1"/>
    <xf numFmtId="0" fontId="8" fillId="0" borderId="0" xfId="0" applyFont="1" applyBorder="1" applyAlignment="1">
      <alignment horizontal="center"/>
    </xf>
    <xf numFmtId="0" fontId="8" fillId="36" borderId="0" xfId="0" applyFont="1" applyFill="1"/>
    <xf numFmtId="0" fontId="8" fillId="0" borderId="0" xfId="0" applyFont="1" applyFill="1" applyBorder="1" applyAlignment="1">
      <alignment horizontal="left" wrapText="1"/>
    </xf>
    <xf numFmtId="169" fontId="8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vertical="justify"/>
    </xf>
    <xf numFmtId="0" fontId="8" fillId="0" borderId="0" xfId="0" applyFont="1" applyBorder="1" applyAlignment="1"/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center" vertical="justify"/>
    </xf>
    <xf numFmtId="0" fontId="112" fillId="0" borderId="0" xfId="0" applyFont="1"/>
    <xf numFmtId="0" fontId="114" fillId="0" borderId="0" xfId="0" applyFont="1" applyBorder="1" applyAlignment="1">
      <alignment horizontal="center" vertical="top" wrapText="1"/>
    </xf>
    <xf numFmtId="0" fontId="114" fillId="0" borderId="0" xfId="0" applyFont="1" applyBorder="1" applyAlignment="1" applyProtection="1">
      <alignment horizontal="center" vertical="top" wrapText="1"/>
      <protection locked="0"/>
    </xf>
    <xf numFmtId="0" fontId="112" fillId="0" borderId="0" xfId="0" applyFont="1" applyAlignment="1" applyProtection="1">
      <alignment horizontal="center"/>
      <protection locked="0"/>
    </xf>
    <xf numFmtId="174" fontId="8" fillId="0" borderId="26" xfId="0" applyNumberFormat="1" applyFont="1" applyBorder="1" applyAlignment="1" applyProtection="1">
      <alignment horizontal="right" vertical="center"/>
      <protection locked="0"/>
    </xf>
    <xf numFmtId="174" fontId="9" fillId="31" borderId="26" xfId="0" applyNumberFormat="1" applyFont="1" applyFill="1" applyBorder="1" applyAlignment="1">
      <alignment horizontal="right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26" xfId="0" applyFont="1" applyBorder="1" applyAlignment="1">
      <alignment vertical="center"/>
    </xf>
    <xf numFmtId="0" fontId="8" fillId="0" borderId="26" xfId="0" applyFont="1" applyBorder="1" applyAlignment="1" applyProtection="1">
      <alignment vertical="center" wrapText="1"/>
      <protection locked="0"/>
    </xf>
    <xf numFmtId="0" fontId="8" fillId="36" borderId="26" xfId="0" applyFont="1" applyFill="1" applyBorder="1" applyAlignment="1">
      <alignment horizontal="left" vertical="center" wrapText="1"/>
    </xf>
    <xf numFmtId="2" fontId="8" fillId="36" borderId="26" xfId="0" applyNumberFormat="1" applyFont="1" applyFill="1" applyBorder="1" applyAlignment="1">
      <alignment horizontal="left" vertical="center" wrapText="1"/>
    </xf>
    <xf numFmtId="169" fontId="8" fillId="0" borderId="26" xfId="0" applyNumberFormat="1" applyFont="1" applyFill="1" applyBorder="1" applyAlignment="1" applyProtection="1">
      <alignment vertical="center"/>
      <protection locked="0"/>
    </xf>
    <xf numFmtId="169" fontId="8" fillId="0" borderId="26" xfId="0" applyNumberFormat="1" applyFont="1" applyFill="1" applyBorder="1" applyAlignment="1">
      <alignment horizontal="right" vertical="center"/>
    </xf>
    <xf numFmtId="49" fontId="115" fillId="0" borderId="3" xfId="0" applyNumberFormat="1" applyFont="1" applyFill="1" applyBorder="1" applyAlignment="1">
      <alignment horizontal="center" vertical="center"/>
    </xf>
    <xf numFmtId="49" fontId="79" fillId="0" borderId="28" xfId="0" applyNumberFormat="1" applyFont="1" applyFill="1" applyBorder="1" applyAlignment="1">
      <alignment horizontal="center" vertical="center"/>
    </xf>
    <xf numFmtId="49" fontId="80" fillId="0" borderId="28" xfId="0" applyNumberFormat="1" applyFont="1" applyFill="1" applyBorder="1" applyAlignment="1">
      <alignment horizontal="center" vertical="center"/>
    </xf>
    <xf numFmtId="187" fontId="8" fillId="0" borderId="28" xfId="0" applyNumberFormat="1" applyFont="1" applyFill="1" applyBorder="1" applyAlignment="1">
      <alignment horizontal="right" vertical="center"/>
    </xf>
    <xf numFmtId="174" fontId="8" fillId="31" borderId="26" xfId="0" applyNumberFormat="1" applyFont="1" applyFill="1" applyBorder="1" applyAlignment="1">
      <alignment horizontal="right" vertical="center"/>
    </xf>
    <xf numFmtId="169" fontId="8" fillId="0" borderId="26" xfId="0" applyNumberFormat="1" applyFont="1" applyFill="1" applyBorder="1" applyAlignment="1" applyProtection="1">
      <alignment horizontal="right" vertical="center"/>
      <protection locked="0"/>
    </xf>
    <xf numFmtId="169" fontId="8" fillId="0" borderId="29" xfId="0" applyNumberFormat="1" applyFont="1" applyFill="1" applyBorder="1" applyAlignment="1" applyProtection="1">
      <alignment horizontal="right" vertical="center"/>
      <protection locked="0"/>
    </xf>
    <xf numFmtId="49" fontId="115" fillId="0" borderId="28" xfId="0" applyNumberFormat="1" applyFont="1" applyFill="1" applyBorder="1" applyAlignment="1">
      <alignment horizontal="center" vertical="center"/>
    </xf>
    <xf numFmtId="0" fontId="109" fillId="0" borderId="3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>
      <alignment vertical="center" wrapText="1"/>
    </xf>
    <xf numFmtId="174" fontId="10" fillId="0" borderId="26" xfId="0" applyNumberFormat="1" applyFont="1" applyBorder="1" applyAlignment="1" applyProtection="1">
      <alignment horizontal="right" vertical="center"/>
      <protection locked="0"/>
    </xf>
    <xf numFmtId="0" fontId="10" fillId="0" borderId="26" xfId="0" applyFont="1" applyBorder="1" applyAlignment="1" applyProtection="1">
      <alignment vertical="center" wrapText="1"/>
      <protection locked="0"/>
    </xf>
    <xf numFmtId="4" fontId="106" fillId="0" borderId="3" xfId="257" applyNumberFormat="1" applyFont="1" applyBorder="1" applyAlignment="1">
      <alignment horizontal="center" vertical="center"/>
    </xf>
    <xf numFmtId="169" fontId="8" fillId="0" borderId="28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3" xfId="0" applyNumberFormat="1" applyFont="1" applyFill="1" applyBorder="1" applyAlignment="1">
      <alignment horizontal="right" vertical="center" wrapText="1"/>
    </xf>
    <xf numFmtId="49" fontId="79" fillId="0" borderId="32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3" fillId="0" borderId="3" xfId="285" applyBorder="1" applyAlignment="1">
      <alignment horizontal="center" vertical="center" wrapText="1"/>
    </xf>
    <xf numFmtId="0" fontId="13" fillId="0" borderId="3" xfId="285" applyFont="1" applyFill="1" applyBorder="1" applyAlignment="1">
      <alignment horizontal="center" vertical="center" wrapText="1"/>
    </xf>
    <xf numFmtId="0" fontId="76" fillId="0" borderId="0" xfId="285" applyFont="1" applyFill="1" applyBorder="1" applyAlignment="1">
      <alignment horizontal="center" vertical="center" wrapText="1"/>
    </xf>
    <xf numFmtId="0" fontId="13" fillId="0" borderId="0" xfId="285" applyFill="1"/>
    <xf numFmtId="0" fontId="13" fillId="0" borderId="0" xfId="285" applyFont="1" applyFill="1" applyBorder="1" applyAlignment="1">
      <alignment wrapText="1"/>
    </xf>
    <xf numFmtId="0" fontId="13" fillId="0" borderId="0" xfId="285" applyFill="1" applyBorder="1" applyAlignment="1">
      <alignment vertical="top" wrapText="1"/>
    </xf>
    <xf numFmtId="0" fontId="13" fillId="0" borderId="0" xfId="285" applyFont="1" applyFill="1" applyBorder="1" applyAlignment="1">
      <alignment horizontal="right" wrapText="1"/>
    </xf>
    <xf numFmtId="0" fontId="13" fillId="0" borderId="3" xfId="285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3" fillId="0" borderId="34" xfId="285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81" fillId="0" borderId="34" xfId="285" applyFont="1" applyBorder="1" applyAlignment="1">
      <alignment horizontal="center" vertical="center" wrapText="1"/>
    </xf>
    <xf numFmtId="0" fontId="13" fillId="0" borderId="0" xfId="285" applyBorder="1"/>
    <xf numFmtId="0" fontId="50" fillId="0" borderId="0" xfId="285" applyFont="1" applyBorder="1" applyAlignment="1"/>
    <xf numFmtId="0" fontId="13" fillId="0" borderId="0" xfId="285" applyFont="1" applyBorder="1" applyAlignment="1"/>
    <xf numFmtId="0" fontId="77" fillId="0" borderId="3" xfId="285" applyFont="1" applyBorder="1" applyAlignment="1">
      <alignment vertical="center" wrapText="1"/>
    </xf>
    <xf numFmtId="0" fontId="13" fillId="0" borderId="0" xfId="285" applyFont="1" applyBorder="1" applyProtection="1">
      <protection locked="0"/>
    </xf>
    <xf numFmtId="0" fontId="13" fillId="0" borderId="0" xfId="285" applyBorder="1" applyProtection="1">
      <protection locked="0"/>
    </xf>
    <xf numFmtId="3" fontId="13" fillId="0" borderId="0" xfId="285" applyNumberFormat="1" applyFont="1" applyFill="1" applyBorder="1" applyAlignment="1">
      <alignment vertical="center" wrapText="1"/>
    </xf>
    <xf numFmtId="0" fontId="70" fillId="0" borderId="3" xfId="0" applyFont="1" applyBorder="1" applyAlignment="1">
      <alignment vertical="center" wrapText="1"/>
    </xf>
    <xf numFmtId="0" fontId="72" fillId="0" borderId="3" xfId="0" applyFont="1" applyFill="1" applyBorder="1" applyAlignment="1">
      <alignment horizontal="left" vertical="center" wrapText="1"/>
    </xf>
    <xf numFmtId="179" fontId="6" fillId="0" borderId="3" xfId="0" applyNumberFormat="1" applyFont="1" applyFill="1" applyBorder="1" applyAlignment="1">
      <alignment horizontal="center" vertical="center" wrapText="1"/>
    </xf>
    <xf numFmtId="49" fontId="70" fillId="0" borderId="26" xfId="0" applyNumberFormat="1" applyFont="1" applyBorder="1" applyAlignment="1">
      <alignment horizontal="center" vertical="center"/>
    </xf>
    <xf numFmtId="187" fontId="111" fillId="0" borderId="28" xfId="0" applyNumberFormat="1" applyFont="1" applyFill="1" applyBorder="1" applyAlignment="1">
      <alignment horizontal="right" vertical="center"/>
    </xf>
    <xf numFmtId="174" fontId="8" fillId="0" borderId="26" xfId="0" applyNumberFormat="1" applyFont="1" applyFill="1" applyBorder="1" applyAlignment="1">
      <alignment horizontal="right" vertical="center"/>
    </xf>
    <xf numFmtId="187" fontId="8" fillId="0" borderId="26" xfId="0" applyNumberFormat="1" applyFont="1" applyFill="1" applyBorder="1" applyAlignment="1">
      <alignment horizontal="right" vertical="center"/>
    </xf>
    <xf numFmtId="0" fontId="79" fillId="0" borderId="3" xfId="0" applyFont="1" applyFill="1" applyBorder="1" applyAlignment="1">
      <alignment horizontal="center" vertical="center" wrapText="1"/>
    </xf>
    <xf numFmtId="49" fontId="79" fillId="0" borderId="35" xfId="0" applyNumberFormat="1" applyFont="1" applyBorder="1" applyAlignment="1">
      <alignment horizontal="center" vertical="center"/>
    </xf>
    <xf numFmtId="49" fontId="79" fillId="0" borderId="36" xfId="0" applyNumberFormat="1" applyFont="1" applyBorder="1" applyAlignment="1">
      <alignment horizontal="center" vertical="center"/>
    </xf>
    <xf numFmtId="49" fontId="79" fillId="0" borderId="3" xfId="0" applyNumberFormat="1" applyFont="1" applyBorder="1" applyAlignment="1">
      <alignment horizontal="center" vertical="center"/>
    </xf>
    <xf numFmtId="169" fontId="0" fillId="0" borderId="29" xfId="0" applyNumberFormat="1" applyFill="1" applyBorder="1" applyAlignment="1" applyProtection="1">
      <alignment vertical="center"/>
      <protection locked="0"/>
    </xf>
    <xf numFmtId="169" fontId="0" fillId="0" borderId="28" xfId="0" applyNumberFormat="1" applyFill="1" applyBorder="1" applyAlignment="1" applyProtection="1">
      <alignment vertical="center"/>
      <protection locked="0"/>
    </xf>
    <xf numFmtId="169" fontId="8" fillId="0" borderId="3" xfId="0" applyNumberFormat="1" applyFont="1" applyFill="1" applyBorder="1" applyAlignment="1">
      <alignment horizontal="right" vertical="center"/>
    </xf>
    <xf numFmtId="174" fontId="0" fillId="0" borderId="26" xfId="0" applyNumberFormat="1" applyFill="1" applyBorder="1" applyAlignment="1" applyProtection="1">
      <alignment vertical="center"/>
      <protection locked="0"/>
    </xf>
    <xf numFmtId="174" fontId="0" fillId="0" borderId="32" xfId="0" applyNumberFormat="1" applyFill="1" applyBorder="1" applyAlignment="1" applyProtection="1">
      <alignment vertical="center"/>
      <protection locked="0"/>
    </xf>
    <xf numFmtId="174" fontId="8" fillId="0" borderId="26" xfId="0" applyNumberFormat="1" applyFont="1" applyFill="1" applyBorder="1" applyAlignment="1" applyProtection="1">
      <alignment vertical="center"/>
      <protection locked="0"/>
    </xf>
    <xf numFmtId="174" fontId="8" fillId="0" borderId="28" xfId="0" applyNumberFormat="1" applyFont="1" applyFill="1" applyBorder="1" applyAlignment="1" applyProtection="1">
      <alignment vertical="center"/>
      <protection locked="0"/>
    </xf>
    <xf numFmtId="174" fontId="8" fillId="0" borderId="28" xfId="0" applyNumberFormat="1" applyFont="1" applyFill="1" applyBorder="1" applyAlignment="1">
      <alignment horizontal="right" vertical="center"/>
    </xf>
    <xf numFmtId="179" fontId="5" fillId="0" borderId="0" xfId="245" applyNumberFormat="1" applyFont="1" applyFill="1" applyBorder="1" applyAlignment="1">
      <alignment vertical="center"/>
    </xf>
    <xf numFmtId="169" fontId="0" fillId="0" borderId="26" xfId="0" applyNumberFormat="1" applyFill="1" applyBorder="1" applyAlignment="1" applyProtection="1">
      <alignment horizontal="right" vertical="center"/>
      <protection locked="0"/>
    </xf>
    <xf numFmtId="169" fontId="0" fillId="0" borderId="32" xfId="0" applyNumberFormat="1" applyBorder="1" applyAlignment="1" applyProtection="1">
      <alignment vertical="center"/>
      <protection locked="0"/>
    </xf>
    <xf numFmtId="182" fontId="89" fillId="0" borderId="28" xfId="0" applyNumberFormat="1" applyFont="1" applyFill="1" applyBorder="1" applyAlignment="1" applyProtection="1">
      <alignment vertical="center"/>
      <protection locked="0"/>
    </xf>
    <xf numFmtId="174" fontId="8" fillId="0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73" fillId="0" borderId="3" xfId="0" applyFont="1" applyFill="1" applyBorder="1" applyAlignment="1">
      <alignment horizontal="left" vertical="center" wrapText="1"/>
    </xf>
    <xf numFmtId="49" fontId="73" fillId="0" borderId="26" xfId="0" applyNumberFormat="1" applyFont="1" applyFill="1" applyBorder="1" applyAlignment="1">
      <alignment horizontal="center" vertical="center"/>
    </xf>
    <xf numFmtId="186" fontId="116" fillId="0" borderId="26" xfId="0" applyNumberFormat="1" applyFont="1" applyFill="1" applyBorder="1" applyAlignment="1">
      <alignment horizontal="right" vertical="center"/>
    </xf>
    <xf numFmtId="174" fontId="12" fillId="31" borderId="26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17" fillId="0" borderId="3" xfId="0" applyFont="1" applyFill="1" applyBorder="1" applyAlignment="1">
      <alignment horizontal="left" vertical="center" wrapText="1"/>
    </xf>
    <xf numFmtId="49" fontId="117" fillId="0" borderId="26" xfId="0" applyNumberFormat="1" applyFont="1" applyFill="1" applyBorder="1" applyAlignment="1">
      <alignment horizontal="center" vertical="center"/>
    </xf>
    <xf numFmtId="186" fontId="118" fillId="0" borderId="26" xfId="0" applyNumberFormat="1" applyFont="1" applyFill="1" applyBorder="1" applyAlignment="1">
      <alignment horizontal="right" vertical="center"/>
    </xf>
    <xf numFmtId="174" fontId="80" fillId="31" borderId="26" xfId="0" applyNumberFormat="1" applyFont="1" applyFill="1" applyBorder="1" applyAlignment="1">
      <alignment horizontal="right" vertical="center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left" vertical="center" wrapText="1"/>
    </xf>
    <xf numFmtId="0" fontId="70" fillId="0" borderId="3" xfId="0" applyFont="1" applyFill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70" fillId="0" borderId="29" xfId="0" applyFont="1" applyBorder="1" applyAlignment="1">
      <alignment horizontal="left" vertical="center" wrapText="1"/>
    </xf>
    <xf numFmtId="49" fontId="70" fillId="0" borderId="29" xfId="0" applyNumberFormat="1" applyFont="1" applyBorder="1" applyAlignment="1">
      <alignment horizontal="center" vertical="center"/>
    </xf>
    <xf numFmtId="174" fontId="70" fillId="0" borderId="26" xfId="0" applyNumberFormat="1" applyFont="1" applyBorder="1" applyAlignment="1" applyProtection="1">
      <alignment horizontal="right" vertical="center"/>
      <protection locked="0"/>
    </xf>
    <xf numFmtId="174" fontId="70" fillId="31" borderId="26" xfId="0" applyNumberFormat="1" applyFont="1" applyFill="1" applyBorder="1" applyAlignment="1">
      <alignment horizontal="right" vertical="center"/>
    </xf>
    <xf numFmtId="0" fontId="70" fillId="0" borderId="0" xfId="0" applyFont="1" applyFill="1" applyAlignment="1">
      <alignment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69" fontId="4" fillId="29" borderId="32" xfId="0" applyNumberFormat="1" applyFont="1" applyFill="1" applyBorder="1" applyAlignment="1" applyProtection="1">
      <alignment vertical="center"/>
      <protection locked="0"/>
    </xf>
    <xf numFmtId="0" fontId="70" fillId="0" borderId="37" xfId="0" quotePrefix="1" applyNumberFormat="1" applyFont="1" applyFill="1" applyBorder="1" applyAlignment="1">
      <alignment horizontal="center" vertical="center"/>
    </xf>
    <xf numFmtId="179" fontId="5" fillId="0" borderId="37" xfId="0" applyNumberFormat="1" applyFont="1" applyFill="1" applyBorder="1" applyAlignment="1">
      <alignment horizontal="center" vertical="center" wrapText="1"/>
    </xf>
    <xf numFmtId="169" fontId="0" fillId="0" borderId="35" xfId="0" applyNumberFormat="1" applyBorder="1" applyAlignment="1" applyProtection="1">
      <alignment vertical="center"/>
      <protection locked="0"/>
    </xf>
    <xf numFmtId="169" fontId="0" fillId="0" borderId="29" xfId="0" applyNumberFormat="1" applyBorder="1" applyAlignment="1" applyProtection="1">
      <alignment vertical="center"/>
      <protection locked="0"/>
    </xf>
    <xf numFmtId="0" fontId="72" fillId="0" borderId="38" xfId="0" applyNumberFormat="1" applyFont="1" applyFill="1" applyBorder="1" applyAlignment="1">
      <alignment horizontal="center" vertical="center"/>
    </xf>
    <xf numFmtId="169" fontId="0" fillId="0" borderId="3" xfId="0" applyNumberFormat="1" applyBorder="1" applyAlignment="1" applyProtection="1">
      <alignment vertical="center"/>
      <protection locked="0"/>
    </xf>
    <xf numFmtId="0" fontId="79" fillId="0" borderId="3" xfId="0" applyFont="1" applyFill="1" applyBorder="1" applyAlignment="1">
      <alignment horizontal="left" vertical="center" wrapText="1"/>
    </xf>
    <xf numFmtId="0" fontId="88" fillId="34" borderId="3" xfId="257" applyFont="1" applyFill="1" applyBorder="1" applyAlignment="1" applyProtection="1">
      <alignment vertical="center" wrapText="1"/>
      <protection locked="0"/>
    </xf>
    <xf numFmtId="0" fontId="88" fillId="34" borderId="3" xfId="257" applyFont="1" applyFill="1" applyBorder="1" applyAlignment="1" applyProtection="1">
      <alignment horizontal="left" vertical="center" wrapText="1"/>
      <protection locked="0"/>
    </xf>
    <xf numFmtId="0" fontId="88" fillId="35" borderId="3" xfId="257" applyFont="1" applyFill="1" applyBorder="1" applyAlignment="1" applyProtection="1">
      <alignment vertical="center" wrapText="1"/>
      <protection locked="0"/>
    </xf>
    <xf numFmtId="0" fontId="88" fillId="0" borderId="3" xfId="257" applyFont="1" applyBorder="1" applyAlignment="1" applyProtection="1">
      <alignment vertical="center" wrapText="1"/>
      <protection locked="0"/>
    </xf>
    <xf numFmtId="2" fontId="99" fillId="0" borderId="26" xfId="257" applyNumberFormat="1" applyFont="1" applyFill="1" applyBorder="1" applyAlignment="1" applyProtection="1">
      <alignment vertical="center"/>
      <protection locked="0"/>
    </xf>
    <xf numFmtId="168" fontId="119" fillId="0" borderId="3" xfId="257" applyNumberFormat="1" applyFont="1" applyBorder="1" applyAlignment="1">
      <alignment horizontal="center" vertical="center"/>
    </xf>
    <xf numFmtId="0" fontId="119" fillId="0" borderId="3" xfId="257" applyFont="1" applyBorder="1" applyAlignment="1">
      <alignment horizontal="center" vertical="center"/>
    </xf>
    <xf numFmtId="0" fontId="120" fillId="0" borderId="0" xfId="257" applyFont="1" applyAlignment="1">
      <alignment vertical="center"/>
    </xf>
    <xf numFmtId="4" fontId="121" fillId="0" borderId="3" xfId="257" applyNumberFormat="1" applyFont="1" applyBorder="1" applyAlignment="1">
      <alignment horizontal="center" vertical="center"/>
    </xf>
    <xf numFmtId="169" fontId="121" fillId="0" borderId="3" xfId="257" applyNumberFormat="1" applyFont="1" applyBorder="1" applyAlignment="1">
      <alignment horizontal="center" vertical="center"/>
    </xf>
    <xf numFmtId="0" fontId="123" fillId="0" borderId="3" xfId="0" applyFont="1" applyBorder="1" applyAlignment="1" applyProtection="1">
      <alignment vertical="center" wrapText="1"/>
      <protection locked="0"/>
    </xf>
    <xf numFmtId="179" fontId="70" fillId="0" borderId="3" xfId="0" applyNumberFormat="1" applyFont="1" applyFill="1" applyBorder="1" applyAlignment="1">
      <alignment horizontal="center" vertical="center" wrapText="1"/>
    </xf>
    <xf numFmtId="182" fontId="82" fillId="0" borderId="26" xfId="0" applyNumberFormat="1" applyFont="1" applyFill="1" applyBorder="1" applyAlignment="1" applyProtection="1">
      <alignment vertical="center"/>
      <protection locked="0"/>
    </xf>
    <xf numFmtId="169" fontId="72" fillId="29" borderId="26" xfId="0" applyNumberFormat="1" applyFont="1" applyFill="1" applyBorder="1" applyAlignment="1" applyProtection="1">
      <alignment vertical="center"/>
      <protection locked="0"/>
    </xf>
    <xf numFmtId="169" fontId="82" fillId="0" borderId="26" xfId="0" applyNumberFormat="1" applyFont="1" applyBorder="1" applyAlignment="1" applyProtection="1">
      <alignment vertical="center"/>
      <protection locked="0"/>
    </xf>
    <xf numFmtId="0" fontId="12" fillId="0" borderId="3" xfId="0" applyNumberFormat="1" applyFont="1" applyFill="1" applyBorder="1" applyAlignment="1">
      <alignment horizontal="center" vertical="center"/>
    </xf>
    <xf numFmtId="179" fontId="12" fillId="0" borderId="3" xfId="0" applyNumberFormat="1" applyFont="1" applyFill="1" applyBorder="1" applyAlignment="1">
      <alignment horizontal="center" vertical="center" wrapText="1"/>
    </xf>
    <xf numFmtId="182" fontId="0" fillId="0" borderId="26" xfId="0" applyNumberFormat="1" applyFont="1" applyFill="1" applyBorder="1" applyAlignment="1" applyProtection="1">
      <alignment vertical="center"/>
      <protection locked="0"/>
    </xf>
    <xf numFmtId="169" fontId="124" fillId="29" borderId="26" xfId="0" applyNumberFormat="1" applyFont="1" applyFill="1" applyBorder="1" applyAlignment="1" applyProtection="1">
      <alignment vertical="center"/>
      <protection locked="0"/>
    </xf>
    <xf numFmtId="169" fontId="0" fillId="0" borderId="26" xfId="0" applyNumberFormat="1" applyFont="1" applyBorder="1" applyAlignment="1" applyProtection="1">
      <alignment vertical="center"/>
      <protection locked="0"/>
    </xf>
    <xf numFmtId="179" fontId="82" fillId="0" borderId="26" xfId="0" applyNumberFormat="1" applyFont="1" applyFill="1" applyBorder="1" applyAlignment="1" applyProtection="1">
      <alignment vertical="center"/>
      <protection locked="0"/>
    </xf>
    <xf numFmtId="179" fontId="82" fillId="0" borderId="26" xfId="0" applyNumberFormat="1" applyFont="1" applyFill="1" applyBorder="1" applyAlignment="1" applyProtection="1">
      <alignment horizontal="right" vertical="center"/>
      <protection locked="0"/>
    </xf>
    <xf numFmtId="179" fontId="72" fillId="29" borderId="3" xfId="0" applyNumberFormat="1" applyFont="1" applyFill="1" applyBorder="1" applyAlignment="1">
      <alignment horizontal="center" vertical="center" wrapText="1"/>
    </xf>
    <xf numFmtId="169" fontId="82" fillId="0" borderId="26" xfId="0" applyNumberFormat="1" applyFont="1" applyFill="1" applyBorder="1" applyAlignment="1" applyProtection="1">
      <alignment vertical="center"/>
      <protection locked="0"/>
    </xf>
    <xf numFmtId="179" fontId="10" fillId="37" borderId="3" xfId="0" applyNumberFormat="1" applyFont="1" applyFill="1" applyBorder="1" applyAlignment="1">
      <alignment horizontal="center" vertical="center" wrapText="1"/>
    </xf>
    <xf numFmtId="169" fontId="8" fillId="37" borderId="28" xfId="0" applyNumberFormat="1" applyFont="1" applyFill="1" applyBorder="1" applyAlignment="1" applyProtection="1">
      <alignment vertical="center"/>
      <protection locked="0"/>
    </xf>
    <xf numFmtId="3" fontId="70" fillId="0" borderId="3" xfId="0" applyNumberFormat="1" applyFont="1" applyFill="1" applyBorder="1" applyAlignment="1">
      <alignment horizontal="center" vertical="center" wrapText="1"/>
    </xf>
    <xf numFmtId="49" fontId="70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 applyFill="1"/>
    <xf numFmtId="0" fontId="5" fillId="0" borderId="1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 wrapText="1" shrinkToFi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 vertical="justify"/>
    </xf>
    <xf numFmtId="0" fontId="4" fillId="0" borderId="15" xfId="237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 vertical="top" wrapText="1"/>
    </xf>
    <xf numFmtId="0" fontId="84" fillId="0" borderId="0" xfId="0" applyFont="1" applyFill="1" applyBorder="1" applyAlignment="1">
      <alignment horizontal="center" wrapText="1"/>
    </xf>
    <xf numFmtId="0" fontId="79" fillId="0" borderId="0" xfId="0" applyFont="1" applyFill="1" applyAlignment="1">
      <alignment horizontal="center" vertical="justify"/>
    </xf>
    <xf numFmtId="0" fontId="4" fillId="0" borderId="0" xfId="0" applyFont="1" applyFill="1" applyBorder="1" applyAlignment="1">
      <alignment horizontal="center" vertical="center" wrapText="1"/>
    </xf>
    <xf numFmtId="0" fontId="8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 shrinkToFit="1"/>
    </xf>
    <xf numFmtId="0" fontId="86" fillId="0" borderId="0" xfId="0" applyFont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4" fillId="0" borderId="3" xfId="245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245" applyFont="1" applyFill="1" applyBorder="1" applyAlignment="1">
      <alignment horizontal="center" vertical="center"/>
    </xf>
    <xf numFmtId="0" fontId="70" fillId="0" borderId="3" xfId="245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114" fillId="0" borderId="0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center" vertical="justify"/>
    </xf>
    <xf numFmtId="0" fontId="112" fillId="0" borderId="0" xfId="0" applyFont="1" applyBorder="1" applyAlignment="1">
      <alignment horizontal="center"/>
    </xf>
    <xf numFmtId="0" fontId="1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10" fillId="38" borderId="28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79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4" fillId="0" borderId="14" xfId="237" applyFont="1" applyFill="1" applyBorder="1" applyAlignment="1">
      <alignment horizontal="left" vertical="center" wrapText="1"/>
    </xf>
    <xf numFmtId="0" fontId="4" fillId="0" borderId="15" xfId="237" applyFont="1" applyFill="1" applyBorder="1" applyAlignment="1">
      <alignment horizontal="left" vertical="center" wrapText="1"/>
    </xf>
    <xf numFmtId="0" fontId="4" fillId="0" borderId="30" xfId="237" applyFont="1" applyFill="1" applyBorder="1" applyAlignment="1">
      <alignment horizontal="left" vertical="center" wrapText="1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37" xfId="237" applyNumberFormat="1" applyFont="1" applyFill="1" applyBorder="1" applyAlignment="1">
      <alignment horizontal="center" vertical="center" wrapText="1"/>
    </xf>
    <xf numFmtId="0" fontId="5" fillId="0" borderId="38" xfId="237" applyNumberFormat="1" applyFont="1" applyFill="1" applyBorder="1" applyAlignment="1">
      <alignment horizontal="center" vertical="center" wrapText="1"/>
    </xf>
    <xf numFmtId="0" fontId="70" fillId="0" borderId="37" xfId="237" applyNumberFormat="1" applyFont="1" applyFill="1" applyBorder="1" applyAlignment="1">
      <alignment horizontal="center" vertical="center" wrapText="1"/>
    </xf>
    <xf numFmtId="0" fontId="70" fillId="0" borderId="38" xfId="237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3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3" fillId="0" borderId="0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0" borderId="30" xfId="0" applyNumberFormat="1" applyFont="1" applyFill="1" applyBorder="1" applyAlignment="1">
      <alignment horizontal="center" vertical="center" wrapText="1"/>
    </xf>
    <xf numFmtId="177" fontId="5" fillId="29" borderId="14" xfId="0" applyNumberFormat="1" applyFont="1" applyFill="1" applyBorder="1" applyAlignment="1">
      <alignment horizontal="center" vertical="center" wrapText="1"/>
    </xf>
    <xf numFmtId="177" fontId="5" fillId="29" borderId="30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3" fontId="4" fillId="0" borderId="3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173" fontId="5" fillId="0" borderId="3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30" xfId="0" applyNumberFormat="1" applyFont="1" applyFill="1" applyBorder="1" applyAlignment="1">
      <alignment horizontal="center" vertical="center" wrapText="1"/>
    </xf>
    <xf numFmtId="177" fontId="4" fillId="29" borderId="14" xfId="0" applyNumberFormat="1" applyFont="1" applyFill="1" applyBorder="1" applyAlignment="1">
      <alignment horizontal="center" vertical="center" wrapText="1"/>
    </xf>
    <xf numFmtId="177" fontId="4" fillId="29" borderId="30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173" fontId="5" fillId="0" borderId="3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/>
    </xf>
    <xf numFmtId="0" fontId="70" fillId="0" borderId="37" xfId="0" applyFont="1" applyFill="1" applyBorder="1" applyAlignment="1">
      <alignment horizontal="center" vertical="center" wrapText="1"/>
    </xf>
    <xf numFmtId="0" fontId="70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78" fontId="5" fillId="0" borderId="15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69" fontId="5" fillId="0" borderId="14" xfId="0" applyNumberFormat="1" applyFont="1" applyFill="1" applyBorder="1" applyAlignment="1">
      <alignment horizontal="center" vertical="center" wrapText="1"/>
    </xf>
    <xf numFmtId="169" fontId="5" fillId="0" borderId="30" xfId="0" applyNumberFormat="1" applyFont="1" applyFill="1" applyBorder="1" applyAlignment="1">
      <alignment horizontal="center" vertical="center" wrapText="1"/>
    </xf>
    <xf numFmtId="178" fontId="5" fillId="29" borderId="14" xfId="0" applyNumberFormat="1" applyFont="1" applyFill="1" applyBorder="1" applyAlignment="1">
      <alignment horizontal="center" vertical="center" wrapText="1"/>
    </xf>
    <xf numFmtId="178" fontId="5" fillId="29" borderId="30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69" fontId="5" fillId="0" borderId="3" xfId="0" applyNumberFormat="1" applyFont="1" applyFill="1" applyBorder="1" applyAlignment="1">
      <alignment horizontal="right"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9" fontId="71" fillId="0" borderId="3" xfId="0" applyNumberFormat="1" applyFont="1" applyFill="1" applyBorder="1" applyAlignment="1">
      <alignment horizontal="left" vertical="center" wrapText="1"/>
    </xf>
    <xf numFmtId="169" fontId="70" fillId="0" borderId="3" xfId="0" applyNumberFormat="1" applyFont="1" applyFill="1" applyBorder="1" applyAlignment="1">
      <alignment horizontal="center" vertical="center" wrapText="1"/>
    </xf>
    <xf numFmtId="177" fontId="70" fillId="0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vertical="center" wrapText="1"/>
    </xf>
    <xf numFmtId="169" fontId="5" fillId="0" borderId="14" xfId="0" applyNumberFormat="1" applyFont="1" applyFill="1" applyBorder="1" applyAlignment="1">
      <alignment horizontal="right" vertical="center" wrapText="1"/>
    </xf>
    <xf numFmtId="169" fontId="5" fillId="0" borderId="30" xfId="0" applyNumberFormat="1" applyFont="1" applyFill="1" applyBorder="1" applyAlignment="1">
      <alignment horizontal="right" vertical="center" wrapText="1"/>
    </xf>
    <xf numFmtId="169" fontId="4" fillId="0" borderId="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30" xfId="0" applyNumberFormat="1" applyFont="1" applyFill="1" applyBorder="1" applyAlignment="1">
      <alignment horizontal="left" vertical="center" wrapText="1"/>
    </xf>
    <xf numFmtId="177" fontId="5" fillId="0" borderId="14" xfId="0" applyNumberFormat="1" applyFont="1" applyFill="1" applyBorder="1" applyAlignment="1">
      <alignment horizontal="right" vertical="center" wrapText="1"/>
    </xf>
    <xf numFmtId="177" fontId="5" fillId="0" borderId="15" xfId="0" applyNumberFormat="1" applyFont="1" applyFill="1" applyBorder="1" applyAlignment="1">
      <alignment horizontal="right" vertical="center" wrapText="1"/>
    </xf>
    <xf numFmtId="177" fontId="5" fillId="0" borderId="30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30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4" fillId="0" borderId="30" xfId="0" applyNumberFormat="1" applyFont="1" applyFill="1" applyBorder="1" applyAlignment="1">
      <alignment horizontal="center" vertical="center" wrapText="1"/>
    </xf>
    <xf numFmtId="49" fontId="71" fillId="0" borderId="14" xfId="0" applyNumberFormat="1" applyFont="1" applyFill="1" applyBorder="1" applyAlignment="1">
      <alignment horizontal="left" vertical="center" wrapText="1"/>
    </xf>
    <xf numFmtId="49" fontId="71" fillId="0" borderId="15" xfId="0" applyNumberFormat="1" applyFont="1" applyFill="1" applyBorder="1" applyAlignment="1">
      <alignment horizontal="left" vertical="center" wrapText="1"/>
    </xf>
    <xf numFmtId="49" fontId="71" fillId="0" borderId="30" xfId="0" applyNumberFormat="1" applyFont="1" applyFill="1" applyBorder="1" applyAlignment="1">
      <alignment horizontal="left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78" fontId="70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169" fontId="4" fillId="0" borderId="14" xfId="0" applyNumberFormat="1" applyFont="1" applyFill="1" applyBorder="1" applyAlignment="1">
      <alignment horizontal="right" vertical="center" wrapText="1"/>
    </xf>
    <xf numFmtId="169" fontId="4" fillId="0" borderId="15" xfId="0" applyNumberFormat="1" applyFont="1" applyFill="1" applyBorder="1" applyAlignment="1">
      <alignment horizontal="right" vertical="center" wrapText="1"/>
    </xf>
    <xf numFmtId="169" fontId="4" fillId="0" borderId="30" xfId="0" applyNumberFormat="1" applyFont="1" applyFill="1" applyBorder="1" applyAlignment="1">
      <alignment horizontal="right" vertical="center" wrapText="1"/>
    </xf>
    <xf numFmtId="169" fontId="5" fillId="0" borderId="14" xfId="0" applyNumberFormat="1" applyFont="1" applyFill="1" applyBorder="1" applyAlignment="1">
      <alignment vertical="center" wrapText="1"/>
    </xf>
    <xf numFmtId="169" fontId="5" fillId="0" borderId="30" xfId="0" applyNumberFormat="1" applyFont="1" applyFill="1" applyBorder="1" applyAlignment="1">
      <alignment vertical="center" wrapText="1"/>
    </xf>
    <xf numFmtId="49" fontId="125" fillId="0" borderId="3" xfId="0" applyNumberFormat="1" applyFont="1" applyFill="1" applyBorder="1" applyAlignment="1">
      <alignment horizontal="left" vertical="center" wrapText="1"/>
    </xf>
    <xf numFmtId="177" fontId="70" fillId="0" borderId="14" xfId="0" applyNumberFormat="1" applyFont="1" applyFill="1" applyBorder="1" applyAlignment="1">
      <alignment horizontal="center" vertical="center" wrapText="1"/>
    </xf>
    <xf numFmtId="177" fontId="70" fillId="0" borderId="15" xfId="0" applyNumberFormat="1" applyFont="1" applyFill="1" applyBorder="1" applyAlignment="1">
      <alignment horizontal="center" vertical="center" wrapText="1"/>
    </xf>
    <xf numFmtId="177" fontId="70" fillId="0" borderId="30" xfId="0" applyNumberFormat="1" applyFont="1" applyFill="1" applyBorder="1" applyAlignment="1">
      <alignment horizontal="center" vertical="center" wrapText="1"/>
    </xf>
    <xf numFmtId="169" fontId="5" fillId="0" borderId="15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168" fontId="5" fillId="0" borderId="30" xfId="0" applyNumberFormat="1" applyFont="1" applyFill="1" applyBorder="1" applyAlignment="1">
      <alignment horizontal="center" vertical="center" wrapText="1"/>
    </xf>
    <xf numFmtId="168" fontId="5" fillId="29" borderId="14" xfId="0" applyNumberFormat="1" applyFont="1" applyFill="1" applyBorder="1" applyAlignment="1">
      <alignment horizontal="center" vertical="center" wrapText="1"/>
    </xf>
    <xf numFmtId="168" fontId="5" fillId="29" borderId="30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2" fillId="0" borderId="3" xfId="245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2" fillId="0" borderId="1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177" fontId="10" fillId="29" borderId="14" xfId="0" applyNumberFormat="1" applyFont="1" applyFill="1" applyBorder="1" applyAlignment="1">
      <alignment horizontal="center" vertical="center" wrapText="1"/>
    </xf>
    <xf numFmtId="177" fontId="10" fillId="29" borderId="30" xfId="0" applyNumberFormat="1" applyFont="1" applyFill="1" applyBorder="1" applyAlignment="1">
      <alignment horizontal="center" vertical="center" wrapText="1"/>
    </xf>
    <xf numFmtId="169" fontId="5" fillId="37" borderId="3" xfId="0" applyNumberFormat="1" applyFont="1" applyFill="1" applyBorder="1" applyAlignment="1">
      <alignment horizontal="center" vertical="center" wrapText="1"/>
    </xf>
    <xf numFmtId="178" fontId="5" fillId="29" borderId="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30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42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43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29" borderId="14" xfId="0" applyNumberFormat="1" applyFont="1" applyFill="1" applyBorder="1" applyAlignment="1">
      <alignment horizontal="center" vertical="center" wrapText="1"/>
    </xf>
    <xf numFmtId="177" fontId="5" fillId="29" borderId="3" xfId="0" applyNumberFormat="1" applyFont="1" applyFill="1" applyBorder="1" applyAlignment="1">
      <alignment horizontal="center" vertical="center" wrapText="1"/>
    </xf>
    <xf numFmtId="177" fontId="10" fillId="0" borderId="14" xfId="0" applyNumberFormat="1" applyFont="1" applyFill="1" applyBorder="1" applyAlignment="1">
      <alignment horizontal="center" vertical="center" wrapText="1"/>
    </xf>
    <xf numFmtId="177" fontId="10" fillId="0" borderId="3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77" fontId="10" fillId="29" borderId="3" xfId="0" applyNumberFormat="1" applyFont="1" applyFill="1" applyBorder="1" applyAlignment="1">
      <alignment horizontal="center" vertical="center" wrapText="1"/>
    </xf>
    <xf numFmtId="178" fontId="10" fillId="0" borderId="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30" xfId="0" applyNumberFormat="1" applyFont="1" applyFill="1" applyBorder="1" applyAlignment="1">
      <alignment horizontal="left" vertical="center" wrapText="1"/>
    </xf>
    <xf numFmtId="178" fontId="10" fillId="29" borderId="14" xfId="0" applyNumberFormat="1" applyFont="1" applyFill="1" applyBorder="1" applyAlignment="1">
      <alignment horizontal="center" vertical="center" wrapText="1"/>
    </xf>
    <xf numFmtId="178" fontId="10" fillId="29" borderId="15" xfId="0" applyNumberFormat="1" applyFont="1" applyFill="1" applyBorder="1" applyAlignment="1">
      <alignment horizontal="center" vertical="center" wrapText="1"/>
    </xf>
    <xf numFmtId="178" fontId="10" fillId="29" borderId="30" xfId="0" applyNumberFormat="1" applyFont="1" applyFill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horizontal="center" vertical="center" wrapText="1"/>
    </xf>
    <xf numFmtId="177" fontId="10" fillId="29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78" fontId="10" fillId="0" borderId="14" xfId="0" applyNumberFormat="1" applyFont="1" applyFill="1" applyBorder="1" applyAlignment="1">
      <alignment horizontal="center" vertical="center" wrapText="1"/>
    </xf>
    <xf numFmtId="178" fontId="10" fillId="0" borderId="15" xfId="0" applyNumberFormat="1" applyFont="1" applyFill="1" applyBorder="1" applyAlignment="1">
      <alignment horizontal="center" vertical="center" wrapText="1"/>
    </xf>
    <xf numFmtId="178" fontId="10" fillId="0" borderId="30" xfId="0" applyNumberFormat="1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wrapText="1" shrinkToFit="1"/>
    </xf>
    <xf numFmtId="0" fontId="70" fillId="0" borderId="38" xfId="0" applyFont="1" applyFill="1" applyBorder="1" applyAlignment="1">
      <alignment horizontal="center" vertical="center" wrapText="1" shrinkToFi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178" fontId="5" fillId="29" borderId="15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39" xfId="0" applyFont="1" applyFill="1" applyBorder="1" applyAlignment="1">
      <alignment horizontal="center" vertical="center" textRotation="90" wrapText="1"/>
    </xf>
    <xf numFmtId="0" fontId="10" fillId="0" borderId="40" xfId="0" applyFont="1" applyFill="1" applyBorder="1" applyAlignment="1">
      <alignment horizontal="center" vertical="center" textRotation="90" wrapText="1"/>
    </xf>
    <xf numFmtId="0" fontId="10" fillId="0" borderId="41" xfId="0" applyFont="1" applyFill="1" applyBorder="1" applyAlignment="1">
      <alignment horizontal="center" vertical="center" textRotation="90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left" vertical="center" wrapText="1"/>
    </xf>
    <xf numFmtId="49" fontId="70" fillId="0" borderId="14" xfId="0" applyNumberFormat="1" applyFont="1" applyFill="1" applyBorder="1" applyAlignment="1">
      <alignment horizontal="left" vertical="center" wrapText="1"/>
    </xf>
    <xf numFmtId="49" fontId="70" fillId="0" borderId="15" xfId="0" applyNumberFormat="1" applyFont="1" applyFill="1" applyBorder="1" applyAlignment="1">
      <alignment horizontal="left" vertical="center" wrapText="1"/>
    </xf>
    <xf numFmtId="49" fontId="70" fillId="0" borderId="30" xfId="0" applyNumberFormat="1" applyFont="1" applyFill="1" applyBorder="1" applyAlignment="1">
      <alignment horizontal="left" vertical="center" wrapText="1"/>
    </xf>
    <xf numFmtId="0" fontId="70" fillId="0" borderId="4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3" fontId="5" fillId="0" borderId="30" xfId="0" applyNumberFormat="1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 shrinkToFit="1"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177" fontId="5" fillId="37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122" fillId="0" borderId="0" xfId="257" applyFont="1" applyAlignment="1">
      <alignment horizontal="center" vertical="center" wrapText="1"/>
    </xf>
    <xf numFmtId="0" fontId="122" fillId="0" borderId="0" xfId="257" applyFont="1" applyAlignment="1">
      <alignment horizontal="center" vertical="center"/>
    </xf>
    <xf numFmtId="0" fontId="14" fillId="0" borderId="13" xfId="257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/>
    </xf>
    <xf numFmtId="0" fontId="74" fillId="0" borderId="29" xfId="257" applyFont="1" applyBorder="1" applyAlignment="1">
      <alignment horizontal="center" vertical="center" wrapText="1"/>
    </xf>
    <xf numFmtId="0" fontId="74" fillId="0" borderId="26" xfId="257" applyFont="1" applyBorder="1" applyAlignment="1">
      <alignment horizontal="center" vertical="center"/>
    </xf>
    <xf numFmtId="0" fontId="74" fillId="0" borderId="26" xfId="257" applyFont="1" applyBorder="1" applyAlignment="1">
      <alignment horizontal="center" vertical="center" wrapText="1"/>
    </xf>
    <xf numFmtId="0" fontId="74" fillId="0" borderId="29" xfId="257" applyFont="1" applyBorder="1" applyAlignment="1">
      <alignment horizontal="center" vertical="center"/>
    </xf>
    <xf numFmtId="0" fontId="99" fillId="0" borderId="0" xfId="257" applyFont="1" applyBorder="1" applyAlignment="1">
      <alignment horizontal="left" vertical="center" wrapText="1"/>
    </xf>
    <xf numFmtId="0" fontId="107" fillId="0" borderId="0" xfId="257" applyFont="1" applyBorder="1" applyAlignment="1">
      <alignment horizontal="center" vertical="center"/>
    </xf>
    <xf numFmtId="0" fontId="50" fillId="0" borderId="13" xfId="285" applyFont="1" applyBorder="1" applyAlignment="1">
      <alignment horizontal="left"/>
    </xf>
    <xf numFmtId="0" fontId="13" fillId="0" borderId="3" xfId="285" applyFont="1" applyFill="1" applyBorder="1" applyAlignment="1">
      <alignment horizontal="center" vertical="center" wrapText="1"/>
    </xf>
    <xf numFmtId="0" fontId="13" fillId="0" borderId="3" xfId="285" applyFont="1" applyBorder="1" applyAlignment="1">
      <alignment horizontal="center" vertical="center" wrapText="1"/>
    </xf>
    <xf numFmtId="0" fontId="13" fillId="0" borderId="3" xfId="285" applyBorder="1" applyAlignment="1">
      <alignment horizontal="center" vertical="center" wrapText="1"/>
    </xf>
    <xf numFmtId="0" fontId="13" fillId="0" borderId="37" xfId="285" applyFont="1" applyFill="1" applyBorder="1" applyAlignment="1">
      <alignment horizontal="center" vertical="center" wrapText="1"/>
    </xf>
    <xf numFmtId="0" fontId="13" fillId="0" borderId="44" xfId="285" applyFont="1" applyFill="1" applyBorder="1" applyAlignment="1">
      <alignment horizontal="center" vertical="center" wrapText="1"/>
    </xf>
    <xf numFmtId="0" fontId="13" fillId="0" borderId="3" xfId="285" applyFont="1" applyBorder="1" applyAlignment="1" applyProtection="1">
      <alignment horizontal="center" vertical="center" wrapText="1"/>
      <protection locked="0"/>
    </xf>
    <xf numFmtId="0" fontId="13" fillId="0" borderId="0" xfId="285" applyFont="1" applyFill="1" applyBorder="1" applyAlignment="1">
      <alignment horizontal="left" vertical="center" wrapText="1"/>
    </xf>
    <xf numFmtId="0" fontId="75" fillId="0" borderId="0" xfId="285" applyFont="1" applyFill="1" applyBorder="1" applyAlignment="1">
      <alignment horizontal="center" vertical="center" wrapText="1"/>
    </xf>
    <xf numFmtId="0" fontId="76" fillId="0" borderId="0" xfId="285" applyFont="1" applyFill="1" applyBorder="1" applyAlignment="1">
      <alignment horizontal="center" vertical="center" wrapText="1"/>
    </xf>
    <xf numFmtId="0" fontId="126" fillId="0" borderId="0" xfId="285" applyFont="1" applyFill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13" fillId="0" borderId="33" xfId="285" applyFont="1" applyFill="1" applyBorder="1" applyAlignment="1" applyProtection="1">
      <alignment horizontal="left" vertical="center" wrapText="1"/>
      <protection locked="0"/>
    </xf>
    <xf numFmtId="0" fontId="13" fillId="0" borderId="0" xfId="285" applyFont="1" applyBorder="1" applyAlignment="1">
      <alignment horizontal="left" vertical="center" wrapText="1"/>
    </xf>
    <xf numFmtId="0" fontId="78" fillId="31" borderId="25" xfId="285" applyFont="1" applyFill="1" applyBorder="1" applyAlignment="1">
      <alignment horizontal="left" vertical="center" wrapText="1"/>
    </xf>
    <xf numFmtId="0" fontId="77" fillId="0" borderId="0" xfId="285" applyFont="1" applyBorder="1" applyAlignment="1">
      <alignment horizontal="left" vertical="center" wrapText="1"/>
    </xf>
    <xf numFmtId="0" fontId="75" fillId="0" borderId="0" xfId="285" applyFont="1" applyBorder="1" applyAlignment="1">
      <alignment horizontal="center" vertical="center" wrapText="1"/>
    </xf>
    <xf numFmtId="0" fontId="77" fillId="0" borderId="0" xfId="285" applyFont="1" applyBorder="1" applyAlignment="1">
      <alignment horizontal="center" vertical="top" wrapText="1"/>
    </xf>
    <xf numFmtId="0" fontId="50" fillId="0" borderId="0" xfId="285" applyFont="1" applyBorder="1" applyAlignment="1" applyProtection="1">
      <alignment horizontal="center" vertical="center" wrapText="1"/>
      <protection locked="0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Обычный_Таб до пояснюв" xfId="285"/>
    <cellStyle name="Плохой 2" xfId="286"/>
    <cellStyle name="Плохой 3" xfId="287"/>
    <cellStyle name="Пояснение 2" xfId="288"/>
    <cellStyle name="Пояснение 3" xfId="289"/>
    <cellStyle name="Примечание 2" xfId="290"/>
    <cellStyle name="Примечание 3" xfId="291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258"/>
  <sheetViews>
    <sheetView view="pageBreakPreview" topLeftCell="A91" zoomScale="75" zoomScaleNormal="75" zoomScaleSheetLayoutView="75" workbookViewId="0">
      <selection activeCell="E21" sqref="E21"/>
    </sheetView>
  </sheetViews>
  <sheetFormatPr defaultRowHeight="18.75"/>
  <cols>
    <col min="1" max="1" width="71.28515625" style="2" customWidth="1"/>
    <col min="2" max="2" width="6.28515625" style="20" customWidth="1"/>
    <col min="3" max="3" width="13.28515625" style="20" customWidth="1"/>
    <col min="4" max="4" width="14.140625" style="20" customWidth="1"/>
    <col min="5" max="5" width="15" style="20" customWidth="1"/>
    <col min="6" max="6" width="14.85546875" style="2" customWidth="1"/>
    <col min="7" max="7" width="10" style="2" customWidth="1"/>
    <col min="8" max="8" width="9.5703125" style="2" customWidth="1"/>
    <col min="9" max="10" width="9.140625" style="2"/>
    <col min="11" max="11" width="10.5703125" style="2" customWidth="1"/>
    <col min="12" max="16384" width="9.140625" style="2"/>
  </cols>
  <sheetData>
    <row r="1" spans="1:6" ht="20.25" customHeight="1">
      <c r="B1" s="17"/>
      <c r="D1" s="544"/>
      <c r="E1" s="544"/>
      <c r="F1" s="544"/>
    </row>
    <row r="2" spans="1:6" ht="57.75" customHeight="1">
      <c r="B2" s="17"/>
      <c r="D2" s="551"/>
      <c r="E2" s="551"/>
      <c r="F2" s="551"/>
    </row>
    <row r="3" spans="1:6" ht="18.75" customHeight="1">
      <c r="A3" s="20"/>
      <c r="D3" s="17"/>
      <c r="E3" s="17"/>
      <c r="F3" s="17"/>
    </row>
    <row r="4" spans="1:6" ht="18.75" customHeight="1">
      <c r="B4" s="2"/>
      <c r="D4" s="17"/>
      <c r="E4" s="17"/>
      <c r="F4" s="17"/>
    </row>
    <row r="5" spans="1:6" ht="18.75" customHeight="1">
      <c r="A5" s="2" t="s">
        <v>940</v>
      </c>
      <c r="B5" s="2"/>
      <c r="D5" s="545" t="s">
        <v>786</v>
      </c>
      <c r="E5" s="545"/>
      <c r="F5" s="22"/>
    </row>
    <row r="6" spans="1:6" ht="38.25" customHeight="1">
      <c r="A6" s="104"/>
      <c r="B6" s="104"/>
      <c r="C6" s="4"/>
      <c r="D6" s="550" t="s">
        <v>939</v>
      </c>
      <c r="E6" s="550"/>
      <c r="F6" s="550"/>
    </row>
    <row r="7" spans="1:6" ht="27" customHeight="1">
      <c r="A7" s="106" t="s">
        <v>955</v>
      </c>
      <c r="B7" s="106"/>
      <c r="C7" s="38"/>
      <c r="D7" s="546" t="s">
        <v>362</v>
      </c>
      <c r="E7" s="546"/>
      <c r="F7" s="546"/>
    </row>
    <row r="8" spans="1:6" ht="20.25" customHeight="1">
      <c r="A8" s="107" t="s">
        <v>942</v>
      </c>
      <c r="B8" s="1"/>
      <c r="D8" s="2"/>
      <c r="E8" s="2"/>
      <c r="F8" s="1"/>
    </row>
    <row r="9" spans="1:6" ht="19.5" customHeight="1">
      <c r="A9" s="17" t="s">
        <v>932</v>
      </c>
      <c r="B9" s="2"/>
      <c r="F9" s="17"/>
    </row>
    <row r="10" spans="1:6" ht="23.25" customHeight="1">
      <c r="A10" s="20"/>
      <c r="F10" s="17"/>
    </row>
    <row r="11" spans="1:6" ht="19.5" customHeight="1">
      <c r="A11" s="2" t="s">
        <v>940</v>
      </c>
      <c r="B11" s="2"/>
      <c r="C11" s="4"/>
      <c r="D11" s="17"/>
      <c r="E11" s="17"/>
      <c r="F11" s="17"/>
    </row>
    <row r="12" spans="1:6" ht="29.25" customHeight="1">
      <c r="A12" s="105" t="s">
        <v>941</v>
      </c>
      <c r="B12" s="105"/>
      <c r="C12" s="4"/>
      <c r="D12" s="17"/>
      <c r="E12" s="17"/>
      <c r="F12" s="17"/>
    </row>
    <row r="13" spans="1:6" ht="25.5" customHeight="1">
      <c r="A13" s="105" t="s">
        <v>1285</v>
      </c>
      <c r="B13" s="105"/>
      <c r="C13" s="4"/>
      <c r="D13" s="17"/>
      <c r="E13" s="17"/>
      <c r="F13" s="17"/>
    </row>
    <row r="14" spans="1:6" ht="18.75" customHeight="1">
      <c r="A14" s="543" t="s">
        <v>943</v>
      </c>
      <c r="B14" s="543"/>
      <c r="D14" s="17"/>
      <c r="E14" s="17"/>
      <c r="F14" s="17"/>
    </row>
    <row r="15" spans="1:6" ht="15.75" customHeight="1">
      <c r="A15" s="106" t="s">
        <v>944</v>
      </c>
      <c r="B15" s="106"/>
      <c r="D15" s="17"/>
      <c r="E15" s="17"/>
      <c r="F15" s="17"/>
    </row>
    <row r="16" spans="1:6" ht="15.75" customHeight="1">
      <c r="A16" s="45" t="s">
        <v>932</v>
      </c>
      <c r="B16" s="111"/>
      <c r="F16" s="1"/>
    </row>
    <row r="17" spans="1:6" ht="21" customHeight="1">
      <c r="A17" s="552"/>
      <c r="B17" s="552"/>
      <c r="F17" s="4"/>
    </row>
    <row r="18" spans="1:6" ht="5.25" customHeight="1">
      <c r="B18" s="2"/>
      <c r="C18" s="4"/>
      <c r="D18" s="45"/>
      <c r="E18" s="45"/>
      <c r="F18" s="45"/>
    </row>
    <row r="19" spans="1:6">
      <c r="B19" s="4"/>
      <c r="C19" s="4"/>
      <c r="D19" s="4"/>
      <c r="E19" s="4"/>
      <c r="F19" s="4"/>
    </row>
    <row r="20" spans="1:6" ht="40.5" customHeight="1">
      <c r="A20" s="66"/>
      <c r="B20" s="112"/>
      <c r="C20" s="112"/>
      <c r="D20" s="112"/>
      <c r="E20" s="51" t="s">
        <v>363</v>
      </c>
      <c r="F20" s="6" t="s">
        <v>866</v>
      </c>
    </row>
    <row r="21" spans="1:6" ht="45" customHeight="1">
      <c r="A21" s="51" t="s">
        <v>673</v>
      </c>
      <c r="B21" s="542" t="s">
        <v>1287</v>
      </c>
      <c r="C21" s="542"/>
      <c r="D21" s="542"/>
      <c r="E21" s="66" t="s">
        <v>789</v>
      </c>
      <c r="F21" s="6">
        <v>3344065</v>
      </c>
    </row>
    <row r="22" spans="1:6" ht="45" customHeight="1">
      <c r="A22" s="51" t="s">
        <v>674</v>
      </c>
      <c r="B22" s="542" t="s">
        <v>1288</v>
      </c>
      <c r="C22" s="542"/>
      <c r="D22" s="542"/>
      <c r="E22" s="66" t="s">
        <v>788</v>
      </c>
      <c r="F22" s="6">
        <v>150</v>
      </c>
    </row>
    <row r="23" spans="1:6" ht="45" customHeight="1">
      <c r="A23" s="51" t="s">
        <v>679</v>
      </c>
      <c r="B23" s="542" t="s">
        <v>1289</v>
      </c>
      <c r="C23" s="542"/>
      <c r="D23" s="542"/>
      <c r="E23" s="66" t="s">
        <v>787</v>
      </c>
      <c r="F23" s="6">
        <v>1810100000</v>
      </c>
    </row>
    <row r="24" spans="1:6" ht="45" customHeight="1">
      <c r="A24" s="51" t="s">
        <v>733</v>
      </c>
      <c r="B24" s="542" t="s">
        <v>1290</v>
      </c>
      <c r="C24" s="542"/>
      <c r="D24" s="542"/>
      <c r="E24" s="66" t="s">
        <v>668</v>
      </c>
      <c r="F24" s="6">
        <v>7084</v>
      </c>
    </row>
    <row r="25" spans="1:6" ht="45" customHeight="1">
      <c r="A25" s="51" t="s">
        <v>676</v>
      </c>
      <c r="B25" s="542" t="s">
        <v>1291</v>
      </c>
      <c r="C25" s="542"/>
      <c r="D25" s="542"/>
      <c r="E25" s="66" t="s">
        <v>667</v>
      </c>
      <c r="F25" s="6">
        <v>90213</v>
      </c>
    </row>
    <row r="26" spans="1:6" ht="45" customHeight="1">
      <c r="A26" s="51" t="s">
        <v>675</v>
      </c>
      <c r="B26" s="542" t="s">
        <v>1292</v>
      </c>
      <c r="C26" s="542"/>
      <c r="D26" s="542"/>
      <c r="E26" s="113" t="s">
        <v>669</v>
      </c>
      <c r="F26" s="6" t="s">
        <v>1286</v>
      </c>
    </row>
    <row r="27" spans="1:6" ht="45" customHeight="1">
      <c r="A27" s="51" t="s">
        <v>1295</v>
      </c>
      <c r="B27" s="112"/>
      <c r="C27" s="542" t="s">
        <v>827</v>
      </c>
      <c r="D27" s="549"/>
      <c r="E27" s="549"/>
      <c r="F27" s="10"/>
    </row>
    <row r="28" spans="1:6" ht="45" customHeight="1">
      <c r="A28" s="51" t="s">
        <v>1293</v>
      </c>
      <c r="B28" s="112"/>
      <c r="C28" s="542" t="s">
        <v>828</v>
      </c>
      <c r="D28" s="549"/>
      <c r="E28" s="549"/>
      <c r="F28" s="10"/>
    </row>
    <row r="29" spans="1:6" ht="45" customHeight="1">
      <c r="A29" s="51" t="s">
        <v>768</v>
      </c>
      <c r="B29" s="542" t="s">
        <v>333</v>
      </c>
      <c r="C29" s="542"/>
      <c r="D29" s="112"/>
      <c r="E29" s="547"/>
      <c r="F29" s="548"/>
    </row>
    <row r="30" spans="1:6" ht="45" customHeight="1">
      <c r="A30" s="51" t="s">
        <v>670</v>
      </c>
      <c r="B30" s="542" t="s">
        <v>339</v>
      </c>
      <c r="C30" s="542"/>
      <c r="D30" s="542"/>
      <c r="E30" s="542"/>
      <c r="F30" s="559"/>
    </row>
    <row r="31" spans="1:6" ht="45" customHeight="1">
      <c r="A31" s="51" t="s">
        <v>671</v>
      </c>
      <c r="B31" s="542" t="s">
        <v>338</v>
      </c>
      <c r="C31" s="542"/>
      <c r="D31" s="112"/>
      <c r="E31" s="547"/>
      <c r="F31" s="548"/>
    </row>
    <row r="32" spans="1:6" ht="45" customHeight="1">
      <c r="A32" s="51" t="s">
        <v>672</v>
      </c>
      <c r="B32" s="542" t="s">
        <v>316</v>
      </c>
      <c r="C32" s="542"/>
      <c r="D32" s="542"/>
      <c r="E32" s="547"/>
      <c r="F32" s="548"/>
    </row>
    <row r="33" spans="1:6" ht="20.100000000000001" customHeight="1">
      <c r="B33" s="2"/>
      <c r="C33" s="2"/>
      <c r="D33" s="2"/>
      <c r="E33" s="2"/>
    </row>
    <row r="34" spans="1:6" ht="9.75" customHeight="1">
      <c r="B34" s="2"/>
      <c r="C34" s="2"/>
      <c r="D34" s="2"/>
      <c r="E34" s="2"/>
    </row>
    <row r="35" spans="1:6" ht="20.100000000000001" customHeight="1">
      <c r="B35" s="2"/>
      <c r="C35" s="2"/>
      <c r="D35" s="2"/>
      <c r="E35" s="2"/>
    </row>
    <row r="36" spans="1:6" ht="20.100000000000001" customHeight="1">
      <c r="B36" s="2"/>
      <c r="C36" s="2"/>
      <c r="D36" s="2"/>
      <c r="E36" s="2"/>
    </row>
    <row r="37" spans="1:6" ht="12.75" customHeight="1">
      <c r="A37" s="67"/>
      <c r="B37" s="2"/>
      <c r="D37" s="2"/>
      <c r="E37" s="2"/>
    </row>
    <row r="38" spans="1:6" ht="43.5" customHeight="1">
      <c r="A38" s="566" t="s">
        <v>334</v>
      </c>
      <c r="B38" s="566"/>
      <c r="C38" s="566"/>
      <c r="D38" s="566"/>
      <c r="E38" s="566"/>
      <c r="F38" s="566"/>
    </row>
    <row r="39" spans="1:6" ht="6.75" customHeight="1">
      <c r="A39" s="11"/>
      <c r="B39" s="11"/>
      <c r="C39" s="11"/>
      <c r="D39" s="11"/>
      <c r="E39" s="11"/>
      <c r="F39" s="11"/>
    </row>
    <row r="40" spans="1:6" ht="38.25" customHeight="1">
      <c r="A40" s="565" t="s">
        <v>841</v>
      </c>
      <c r="B40" s="565"/>
      <c r="C40" s="565"/>
      <c r="D40" s="565"/>
      <c r="E40" s="565"/>
      <c r="F40" s="565"/>
    </row>
    <row r="41" spans="1:6" ht="9" customHeight="1">
      <c r="B41" s="22"/>
      <c r="C41" s="4"/>
      <c r="D41" s="22"/>
      <c r="E41" s="22"/>
      <c r="F41" s="22"/>
    </row>
    <row r="42" spans="1:6" ht="28.5" customHeight="1">
      <c r="A42" s="557" t="s">
        <v>873</v>
      </c>
      <c r="B42" s="558" t="s">
        <v>677</v>
      </c>
      <c r="C42" s="555" t="s">
        <v>690</v>
      </c>
      <c r="D42" s="555" t="s">
        <v>697</v>
      </c>
      <c r="E42" s="553" t="s">
        <v>812</v>
      </c>
      <c r="F42" s="567" t="s">
        <v>794</v>
      </c>
    </row>
    <row r="43" spans="1:6" ht="55.5" customHeight="1">
      <c r="A43" s="557"/>
      <c r="B43" s="558"/>
      <c r="C43" s="556"/>
      <c r="D43" s="556"/>
      <c r="E43" s="554"/>
      <c r="F43" s="567"/>
    </row>
    <row r="44" spans="1:6" ht="22.5" customHeight="1">
      <c r="A44" s="114">
        <v>1</v>
      </c>
      <c r="B44" s="110">
        <v>2</v>
      </c>
      <c r="C44" s="110">
        <v>3</v>
      </c>
      <c r="D44" s="110">
        <v>4</v>
      </c>
      <c r="E44" s="110">
        <v>5</v>
      </c>
      <c r="F44" s="110">
        <v>6</v>
      </c>
    </row>
    <row r="45" spans="1:6" ht="45" customHeight="1">
      <c r="A45" s="562" t="s">
        <v>759</v>
      </c>
      <c r="B45" s="563"/>
      <c r="C45" s="563"/>
      <c r="D45" s="563"/>
      <c r="E45" s="563"/>
      <c r="F45" s="564"/>
    </row>
    <row r="46" spans="1:6" ht="30" customHeight="1">
      <c r="A46" s="76" t="s">
        <v>842</v>
      </c>
      <c r="B46" s="101">
        <f ca="1">'I. Фін результат'!B7</f>
        <v>1000</v>
      </c>
      <c r="C46" s="96">
        <f ca="1">'I. Фін результат'!C7</f>
        <v>100169.5</v>
      </c>
      <c r="D46" s="96">
        <f ca="1">'I. Фін результат'!D7</f>
        <v>106796.7</v>
      </c>
      <c r="E46" s="96">
        <f ca="1">'I. Фін результат'!E7</f>
        <v>110042.4072</v>
      </c>
      <c r="F46" s="96">
        <f ca="1">'I. Фін результат'!F7</f>
        <v>131753.79999999999</v>
      </c>
    </row>
    <row r="47" spans="1:6" ht="30" customHeight="1">
      <c r="A47" s="76" t="s">
        <v>817</v>
      </c>
      <c r="B47" s="101">
        <f ca="1">'I. Фін результат'!B14</f>
        <v>1010</v>
      </c>
      <c r="C47" s="96">
        <f ca="1">'I. Фін результат'!C14</f>
        <v>125572.00000000001</v>
      </c>
      <c r="D47" s="96">
        <f ca="1">'I. Фін результат'!D14</f>
        <v>147621.79999999999</v>
      </c>
      <c r="E47" s="96">
        <f ca="1">'I. Фін результат'!E14</f>
        <v>141855</v>
      </c>
      <c r="F47" s="96">
        <f ca="1">'I. Фін результат'!F14</f>
        <v>158681.4</v>
      </c>
    </row>
    <row r="48" spans="1:6" ht="30" customHeight="1">
      <c r="A48" s="77" t="s">
        <v>898</v>
      </c>
      <c r="B48" s="101">
        <f ca="1">'I. Фін результат'!B41</f>
        <v>1020</v>
      </c>
      <c r="C48" s="96">
        <f ca="1">'I. Фін результат'!C41</f>
        <v>-25402.500000000015</v>
      </c>
      <c r="D48" s="96">
        <f ca="1">'I. Фін результат'!D41</f>
        <v>-40825.099999999991</v>
      </c>
      <c r="E48" s="96">
        <f ca="1">'I. Фін результат'!E41</f>
        <v>-31812.592799999999</v>
      </c>
      <c r="F48" s="96">
        <f ca="1">'I. Фін результат'!F41</f>
        <v>-26927.600000000006</v>
      </c>
    </row>
    <row r="49" spans="1:6" ht="30" customHeight="1">
      <c r="A49" s="76" t="s">
        <v>798</v>
      </c>
      <c r="B49" s="101">
        <f ca="1">'I. Фін результат'!B54</f>
        <v>1040</v>
      </c>
      <c r="C49" s="96">
        <f ca="1">'I. Фін результат'!C54</f>
        <v>5923.9999999999991</v>
      </c>
      <c r="D49" s="96">
        <f ca="1">'I. Фін результат'!D54</f>
        <v>6374.0999999999995</v>
      </c>
      <c r="E49" s="96">
        <f ca="1">'I. Фін результат'!E54</f>
        <v>5903.4</v>
      </c>
      <c r="F49" s="96">
        <f ca="1">'I. Фін результат'!F54</f>
        <v>7444.2999999999993</v>
      </c>
    </row>
    <row r="50" spans="1:6" ht="30" customHeight="1">
      <c r="A50" s="76" t="s">
        <v>795</v>
      </c>
      <c r="B50" s="101">
        <f ca="1">'I. Фін результат'!B92</f>
        <v>1070</v>
      </c>
      <c r="C50" s="96">
        <f ca="1">'I. Фін результат'!C92</f>
        <v>5162.3999999999996</v>
      </c>
      <c r="D50" s="96">
        <f ca="1">'I. Фін результат'!D92</f>
        <v>7807</v>
      </c>
      <c r="E50" s="96">
        <f ca="1">'I. Фін результат'!E92</f>
        <v>7277.9</v>
      </c>
      <c r="F50" s="96">
        <f ca="1">'I. Фін результат'!F92</f>
        <v>6137.2999999999993</v>
      </c>
    </row>
    <row r="51" spans="1:6" ht="30" customHeight="1">
      <c r="A51" s="76" t="s">
        <v>799</v>
      </c>
      <c r="B51" s="101">
        <f ca="1">'I. Фін результат'!B174</f>
        <v>1300</v>
      </c>
      <c r="C51" s="96">
        <f ca="1">'I. Фін результат'!C174</f>
        <v>4242.1125000000029</v>
      </c>
      <c r="D51" s="96">
        <f ca="1">'I. Фін результат'!D174</f>
        <v>977.62857142857138</v>
      </c>
      <c r="E51" s="96">
        <f ca="1">'I. Фін результат'!E174</f>
        <v>-622.57142857142935</v>
      </c>
      <c r="F51" s="96">
        <f ca="1">'I. Фін результат'!F174</f>
        <v>3884.9000000000005</v>
      </c>
    </row>
    <row r="52" spans="1:6" ht="30" customHeight="1">
      <c r="A52" s="35" t="s">
        <v>663</v>
      </c>
      <c r="B52" s="101">
        <f ca="1">'I. Фін результат'!B153</f>
        <v>1100</v>
      </c>
      <c r="C52" s="96">
        <f ca="1">'I. Фін результат'!C153</f>
        <v>-32246.787500000009</v>
      </c>
      <c r="D52" s="96">
        <f ca="1">'I. Фін результат'!D153</f>
        <v>-54028.57142857142</v>
      </c>
      <c r="E52" s="96">
        <f ca="1">'I. Фін результат'!E153</f>
        <v>-45616.464228571429</v>
      </c>
      <c r="F52" s="96">
        <f ca="1">'I. Фін результат'!F153</f>
        <v>-36624.30000000001</v>
      </c>
    </row>
    <row r="53" spans="1:6" ht="30" customHeight="1">
      <c r="A53" s="68" t="s">
        <v>800</v>
      </c>
      <c r="B53" s="101">
        <f ca="1">'I. Фін результат'!B175</f>
        <v>1310</v>
      </c>
      <c r="C53" s="96">
        <f ca="1">'I. Фін результат'!C175</f>
        <v>39.599999999999994</v>
      </c>
      <c r="D53" s="96">
        <f ca="1">'I. Фін результат'!D175</f>
        <v>-153.10870656</v>
      </c>
      <c r="E53" s="96">
        <f ca="1">'I. Фін результат'!E175</f>
        <v>-123.1</v>
      </c>
      <c r="F53" s="96">
        <f ca="1">'I. Фін результат'!F175</f>
        <v>-567.77281919999996</v>
      </c>
    </row>
    <row r="54" spans="1:6" ht="30" customHeight="1">
      <c r="A54" s="76" t="s">
        <v>860</v>
      </c>
      <c r="B54" s="101">
        <f ca="1">'I. Фін результат'!B176</f>
        <v>1320</v>
      </c>
      <c r="C54" s="96">
        <f ca="1">'I. Фін результат'!C176</f>
        <v>2975.2</v>
      </c>
      <c r="D54" s="96">
        <f ca="1">'I. Фін результат'!D176</f>
        <v>5728</v>
      </c>
      <c r="E54" s="96">
        <f ca="1">'I. Фін результат'!E176</f>
        <v>3100</v>
      </c>
      <c r="F54" s="96">
        <f ca="1">'I. Фін результат'!F176</f>
        <v>3100</v>
      </c>
    </row>
    <row r="55" spans="1:6" ht="30" customHeight="1">
      <c r="A55" s="78" t="s">
        <v>757</v>
      </c>
      <c r="B55" s="101">
        <f ca="1">'I. Фін результат'!B166</f>
        <v>1170</v>
      </c>
      <c r="C55" s="96">
        <f ca="1">'I. Фін результат'!C166</f>
        <v>-29231.98750000001</v>
      </c>
      <c r="D55" s="96">
        <f ca="1">'I. Фін результат'!D166</f>
        <v>-48453.680135131421</v>
      </c>
      <c r="E55" s="96">
        <f ca="1">'I. Фін результат'!E166</f>
        <v>-42639.564228571428</v>
      </c>
      <c r="F55" s="96">
        <f ca="1">'I. Фін результат'!F166</f>
        <v>-34092.07281920001</v>
      </c>
    </row>
    <row r="56" spans="1:6" ht="30" customHeight="1">
      <c r="A56" s="10" t="s">
        <v>796</v>
      </c>
      <c r="B56" s="101">
        <f ca="1">'I. Фін результат'!B167</f>
        <v>1180</v>
      </c>
      <c r="C56" s="96">
        <f ca="1">'I. Фін результат'!C167</f>
        <v>0</v>
      </c>
      <c r="D56" s="96">
        <f ca="1">'I. Фін результат'!D167</f>
        <v>0</v>
      </c>
      <c r="E56" s="96">
        <f ca="1">'I. Фін результат'!E167</f>
        <v>0</v>
      </c>
      <c r="F56" s="96">
        <f ca="1">'I. Фін результат'!F167</f>
        <v>0</v>
      </c>
    </row>
    <row r="57" spans="1:6" ht="30" customHeight="1">
      <c r="A57" s="35" t="s">
        <v>857</v>
      </c>
      <c r="B57" s="101">
        <f ca="1">'I. Фін результат'!B169</f>
        <v>1200</v>
      </c>
      <c r="C57" s="96">
        <f ca="1">'I. Фін результат'!C169</f>
        <v>-29231.98750000001</v>
      </c>
      <c r="D57" s="96">
        <f ca="1">'I. Фін результат'!D169</f>
        <v>-48453.680135131421</v>
      </c>
      <c r="E57" s="96">
        <f ca="1">'I. Фін результат'!E169</f>
        <v>-42639.564228571428</v>
      </c>
      <c r="F57" s="96">
        <f ca="1">'I. Фін результат'!F169</f>
        <v>-34092.072819200017</v>
      </c>
    </row>
    <row r="58" spans="1:6" ht="30" customHeight="1">
      <c r="A58" s="68" t="s">
        <v>858</v>
      </c>
      <c r="B58" s="101">
        <f ca="1">' V. Коефіцієнти'!B8</f>
        <v>5010</v>
      </c>
      <c r="C58" s="260">
        <f ca="1">' V. Коефіцієнти'!D8</f>
        <v>-0.29182523123306009</v>
      </c>
      <c r="D58" s="260">
        <f ca="1">' V. Коефіцієнти'!E8</f>
        <v>-0.45370016241261596</v>
      </c>
      <c r="E58" s="260">
        <f ca="1">' V. Коефіцієнти'!F8</f>
        <v>-0.38748301962419657</v>
      </c>
      <c r="F58" s="260">
        <f ca="1">' V. Коефіцієнти'!G8</f>
        <v>-0.25875589788833431</v>
      </c>
    </row>
    <row r="59" spans="1:6" ht="45" customHeight="1">
      <c r="A59" s="569" t="s">
        <v>808</v>
      </c>
      <c r="B59" s="569"/>
      <c r="C59" s="569"/>
      <c r="D59" s="569"/>
      <c r="E59" s="569"/>
      <c r="F59" s="569"/>
    </row>
    <row r="60" spans="1:6" ht="30" customHeight="1">
      <c r="A60" s="75" t="s">
        <v>874</v>
      </c>
      <c r="B60" s="101">
        <f ca="1">'ІІ. Розр. з бюджетом'!B18</f>
        <v>2100</v>
      </c>
      <c r="C60" s="96">
        <f ca="1">'ІІ. Розр. з бюджетом'!C18</f>
        <v>0</v>
      </c>
      <c r="D60" s="96">
        <f ca="1">'ІІ. Розр. з бюджетом'!D18</f>
        <v>0</v>
      </c>
      <c r="E60" s="96">
        <f ca="1">'ІІ. Розр. з бюджетом'!E18</f>
        <v>0</v>
      </c>
      <c r="F60" s="96">
        <f ca="1">'ІІ. Розр. з бюджетом'!F18</f>
        <v>0</v>
      </c>
    </row>
    <row r="61" spans="1:6" ht="30" customHeight="1">
      <c r="A61" s="41" t="s">
        <v>807</v>
      </c>
      <c r="B61" s="101">
        <f ca="1">'ІІ. Розр. з бюджетом'!B19</f>
        <v>2110</v>
      </c>
      <c r="C61" s="96">
        <f ca="1">'ІІ. Розр. з бюджетом'!C19</f>
        <v>0</v>
      </c>
      <c r="D61" s="96">
        <f ca="1">'ІІ. Розр. з бюджетом'!D19</f>
        <v>0</v>
      </c>
      <c r="E61" s="96">
        <f ca="1">'ІІ. Розр. з бюджетом'!E19</f>
        <v>0</v>
      </c>
      <c r="F61" s="96">
        <f ca="1">'ІІ. Розр. з бюджетом'!F19</f>
        <v>0</v>
      </c>
    </row>
    <row r="62" spans="1:6" ht="39.75" customHeight="1">
      <c r="A62" s="41" t="s">
        <v>958</v>
      </c>
      <c r="B62" s="115" t="s">
        <v>859</v>
      </c>
      <c r="C62" s="96">
        <f ca="1">SUM('ІІ. Розр. з бюджетом'!C20,'ІІ. Розр. з бюджетом'!C21)</f>
        <v>6516</v>
      </c>
      <c r="D62" s="96">
        <f ca="1">SUM('ІІ. Розр. з бюджетом'!D20,'ІІ. Розр. з бюджетом'!D21)</f>
        <v>10560</v>
      </c>
      <c r="E62" s="96">
        <f ca="1">SUM('ІІ. Розр. з бюджетом'!E20,'ІІ. Розр. з бюджетом'!E21)</f>
        <v>8244.5</v>
      </c>
      <c r="F62" s="96">
        <f ca="1">SUM('ІІ. Розр. з бюджетом'!F20,'ІІ. Розр. з бюджетом'!F21)</f>
        <v>12000</v>
      </c>
    </row>
    <row r="63" spans="1:6" ht="42.75" customHeight="1">
      <c r="A63" s="75" t="s">
        <v>938</v>
      </c>
      <c r="B63" s="101">
        <f ca="1">'ІІ. Розр. з бюджетом'!B24</f>
        <v>2140</v>
      </c>
      <c r="C63" s="96">
        <f ca="1">'ІІ. Розр. з бюджетом'!C24</f>
        <v>9447.7999999999993</v>
      </c>
      <c r="D63" s="96">
        <f ca="1">'ІІ. Розр. з бюджетом'!D24</f>
        <v>12947.999</v>
      </c>
      <c r="E63" s="96">
        <f ca="1">'ІІ. Розр. з бюджетом'!E24</f>
        <v>12712.449999999999</v>
      </c>
      <c r="F63" s="96">
        <f ca="1">'ІІ. Розр. з бюджетом'!F24</f>
        <v>14389.085999999999</v>
      </c>
    </row>
    <row r="64" spans="1:6" ht="36" customHeight="1">
      <c r="A64" s="75" t="s">
        <v>746</v>
      </c>
      <c r="B64" s="101">
        <f ca="1">'ІІ. Розр. з бюджетом'!B42</f>
        <v>2150</v>
      </c>
      <c r="C64" s="96">
        <f ca="1">'ІІ. Розр. з бюджетом'!C42</f>
        <v>14360</v>
      </c>
      <c r="D64" s="96">
        <f ca="1">'ІІ. Розр. з бюджетом'!D42</f>
        <v>10456.4</v>
      </c>
      <c r="E64" s="96">
        <f ca="1">'ІІ. Розр. з бюджетом'!E42</f>
        <v>10304</v>
      </c>
      <c r="F64" s="96">
        <f ca="1">'ІІ. Розр. з бюджетом'!F42</f>
        <v>11698.6</v>
      </c>
    </row>
    <row r="65" spans="1:10" ht="38.25" customHeight="1">
      <c r="A65" s="74" t="s">
        <v>875</v>
      </c>
      <c r="B65" s="101">
        <f ca="1">'ІІ. Розр. з бюджетом'!B43</f>
        <v>2200</v>
      </c>
      <c r="C65" s="96">
        <f ca="1">'ІІ. Розр. з бюджетом'!C43</f>
        <v>30323.8</v>
      </c>
      <c r="D65" s="96">
        <f ca="1">'ІІ. Розр. з бюджетом'!D43</f>
        <v>33964.398999999998</v>
      </c>
      <c r="E65" s="96">
        <f ca="1">'ІІ. Розр. з бюджетом'!E43</f>
        <v>31260.949999999997</v>
      </c>
      <c r="F65" s="96">
        <f ca="1">'ІІ. Розр. з бюджетом'!F43</f>
        <v>38087.686000000002</v>
      </c>
    </row>
    <row r="66" spans="1:10" ht="36.75" customHeight="1">
      <c r="A66" s="568" t="s">
        <v>806</v>
      </c>
      <c r="B66" s="568"/>
      <c r="C66" s="568"/>
      <c r="D66" s="568"/>
      <c r="E66" s="568"/>
      <c r="F66" s="568"/>
      <c r="G66" s="5"/>
      <c r="H66" s="5"/>
      <c r="I66" s="5"/>
      <c r="J66" s="5"/>
    </row>
    <row r="67" spans="1:10" ht="30" customHeight="1">
      <c r="A67" s="141" t="s">
        <v>957</v>
      </c>
      <c r="B67" s="114">
        <v>3600</v>
      </c>
      <c r="C67" s="96">
        <f ca="1">'ІІІ. Рух грош. коштів'!C156</f>
        <v>1415.6</v>
      </c>
      <c r="D67" s="96">
        <f ca="1">'ІІІ. Рух грош. коштів'!D156</f>
        <v>223.5</v>
      </c>
      <c r="E67" s="96">
        <f ca="1">'ІІІ. Рух грош. коштів'!E156</f>
        <v>3323.6</v>
      </c>
      <c r="F67" s="96">
        <f ca="1">'ІІІ. Рух грош. коштів'!F156</f>
        <v>287.53999999997905</v>
      </c>
    </row>
    <row r="68" spans="1:10" ht="30" customHeight="1">
      <c r="A68" s="141" t="s">
        <v>483</v>
      </c>
      <c r="B68" s="114">
        <v>3620</v>
      </c>
      <c r="C68" s="96">
        <f ca="1">'ІІІ. Рух грош. коштів'!C158</f>
        <v>3323.6000000000058</v>
      </c>
      <c r="D68" s="96">
        <f ca="1">'ІІІ. Рух грош. коштів'!D158</f>
        <v>287.53999999997905</v>
      </c>
      <c r="E68" s="96">
        <f ca="1">'ІІІ. Рух грош. коштів'!E158</f>
        <v>6373.568639999994</v>
      </c>
      <c r="F68" s="96">
        <f ca="1">'ІІІ. Рух грош. коштів'!F158</f>
        <v>487.9999999999709</v>
      </c>
    </row>
    <row r="69" spans="1:10" ht="30" customHeight="1">
      <c r="A69" s="142" t="s">
        <v>694</v>
      </c>
      <c r="B69" s="114">
        <v>3630</v>
      </c>
      <c r="C69" s="96">
        <f ca="1">'ІІІ. Рух грош. коштів'!C159</f>
        <v>1908.0000000000073</v>
      </c>
      <c r="D69" s="96">
        <f ca="1">'ІІІ. Рух грош. коштів'!D159</f>
        <v>64.039999999979045</v>
      </c>
      <c r="E69" s="96">
        <f ca="1">'ІІІ. Рух грош. коштів'!E159</f>
        <v>3049.9686399999955</v>
      </c>
      <c r="F69" s="96">
        <f ca="1">'ІІІ. Рух грош. коштів'!F159</f>
        <v>200.45999999999185</v>
      </c>
    </row>
    <row r="70" spans="1:10" ht="33.75" customHeight="1">
      <c r="A70" s="560" t="s">
        <v>848</v>
      </c>
      <c r="B70" s="561"/>
      <c r="C70" s="561"/>
      <c r="D70" s="561"/>
      <c r="E70" s="561"/>
      <c r="F70" s="561"/>
    </row>
    <row r="71" spans="1:10" ht="30" customHeight="1">
      <c r="A71" s="75" t="s">
        <v>847</v>
      </c>
      <c r="B71" s="6">
        <f ca="1">'IV. Кап. інвестиції'!B6</f>
        <v>4000</v>
      </c>
      <c r="C71" s="96">
        <f ca="1">'IV. Кап. інвестиції'!C6</f>
        <v>8206</v>
      </c>
      <c r="D71" s="96">
        <f ca="1">'IV. Кап. інвестиції'!D6</f>
        <v>4506.8999999999996</v>
      </c>
      <c r="E71" s="96">
        <f ca="1">'IV. Кап. інвестиції'!E6</f>
        <v>6355.8</v>
      </c>
      <c r="F71" s="96">
        <f ca="1">'IV. Кап. інвестиції'!F6</f>
        <v>8620</v>
      </c>
    </row>
    <row r="72" spans="1:10" ht="38.25" customHeight="1">
      <c r="A72" s="572" t="s">
        <v>851</v>
      </c>
      <c r="B72" s="572"/>
      <c r="C72" s="572"/>
      <c r="D72" s="572"/>
      <c r="E72" s="572"/>
      <c r="F72" s="572"/>
      <c r="G72" s="140"/>
      <c r="H72" s="140"/>
    </row>
    <row r="73" spans="1:10" ht="30" customHeight="1">
      <c r="A73" s="355" t="s">
        <v>493</v>
      </c>
      <c r="B73" s="101">
        <v>5000</v>
      </c>
      <c r="C73" s="252">
        <f ca="1">' V. Коефіцієнти'!D7</f>
        <v>-0.24024843023160256</v>
      </c>
      <c r="D73" s="252">
        <f ca="1">' V. Коефіцієнти'!E7</f>
        <v>-0.42756391030338781</v>
      </c>
      <c r="E73" s="252">
        <f ca="1">' V. Коефіцієнти'!F7</f>
        <v>-0.3331007767371682</v>
      </c>
      <c r="F73" s="252">
        <f ca="1">' V. Коефіцієнти'!G7</f>
        <v>-0.26632767342041136</v>
      </c>
    </row>
    <row r="74" spans="1:10" ht="30" customHeight="1">
      <c r="A74" s="355" t="s">
        <v>494</v>
      </c>
      <c r="B74" s="101">
        <v>5100</v>
      </c>
      <c r="C74" s="252">
        <f ca="1">' V. Коефіцієнти'!D10</f>
        <v>1.4541438915669942</v>
      </c>
      <c r="D74" s="252">
        <f ca="1">' V. Коефіцієнти'!E10</f>
        <v>1.6411774302561353</v>
      </c>
      <c r="E74" s="252">
        <f ca="1">' V. Коефіцієнти'!F10</f>
        <v>1.2829219574832358</v>
      </c>
      <c r="F74" s="252">
        <f ca="1">' V. Коефіцієнти'!G10</f>
        <v>1.2829219574832358</v>
      </c>
    </row>
    <row r="75" spans="1:10" ht="30" customHeight="1">
      <c r="A75" s="79" t="s">
        <v>492</v>
      </c>
      <c r="B75" s="101">
        <v>5120</v>
      </c>
      <c r="C75" s="252">
        <f ca="1">' V. Коефіцієнти'!D12</f>
        <v>0.80552704505799044</v>
      </c>
      <c r="D75" s="252">
        <f ca="1">' V. Коефіцієнти'!E12</f>
        <v>1.0064139186397691</v>
      </c>
      <c r="E75" s="252">
        <f ca="1">' V. Коефіцієнти'!F12</f>
        <v>0.85504267528209088</v>
      </c>
      <c r="F75" s="252">
        <f ca="1">' V. Коефіцієнти'!G12</f>
        <v>0.9564651846851191</v>
      </c>
    </row>
    <row r="76" spans="1:10" ht="39.75" customHeight="1">
      <c r="A76" s="569" t="s">
        <v>850</v>
      </c>
      <c r="B76" s="569"/>
      <c r="C76" s="569"/>
      <c r="D76" s="569"/>
      <c r="E76" s="569"/>
      <c r="F76" s="569"/>
    </row>
    <row r="77" spans="1:10" ht="30" customHeight="1">
      <c r="A77" s="75" t="s">
        <v>801</v>
      </c>
      <c r="B77" s="101">
        <v>6000</v>
      </c>
      <c r="C77" s="92">
        <v>73595</v>
      </c>
      <c r="D77" s="92">
        <v>67299</v>
      </c>
      <c r="E77" s="92">
        <v>72477</v>
      </c>
      <c r="F77" s="92">
        <v>72477</v>
      </c>
    </row>
    <row r="78" spans="1:10" ht="30" customHeight="1">
      <c r="A78" s="75" t="s">
        <v>802</v>
      </c>
      <c r="B78" s="101">
        <v>6010</v>
      </c>
      <c r="C78" s="92">
        <v>48079</v>
      </c>
      <c r="D78" s="92">
        <v>46026</v>
      </c>
      <c r="E78" s="92">
        <v>55531</v>
      </c>
      <c r="F78" s="92">
        <v>55531</v>
      </c>
    </row>
    <row r="79" spans="1:10" ht="30" customHeight="1">
      <c r="A79" s="75" t="s">
        <v>876</v>
      </c>
      <c r="B79" s="101">
        <v>6020</v>
      </c>
      <c r="C79" s="92">
        <v>3324</v>
      </c>
      <c r="D79" s="92">
        <v>694</v>
      </c>
      <c r="E79" s="92">
        <v>1838</v>
      </c>
      <c r="F79" s="92">
        <v>1838</v>
      </c>
    </row>
    <row r="80" spans="1:10" s="5" customFormat="1" ht="30" customHeight="1">
      <c r="A80" s="74" t="s">
        <v>880</v>
      </c>
      <c r="B80" s="101">
        <v>6030</v>
      </c>
      <c r="C80" s="92">
        <f>C77+C78</f>
        <v>121674</v>
      </c>
      <c r="D80" s="92">
        <f>D77+D78</f>
        <v>113325</v>
      </c>
      <c r="E80" s="92">
        <f>E77+E78</f>
        <v>128008</v>
      </c>
      <c r="F80" s="92">
        <f>F77+F78</f>
        <v>128008</v>
      </c>
    </row>
    <row r="81" spans="1:7" ht="30" customHeight="1">
      <c r="A81" s="75" t="s">
        <v>814</v>
      </c>
      <c r="B81" s="101">
        <v>6040</v>
      </c>
      <c r="C81" s="92">
        <v>10745</v>
      </c>
      <c r="D81" s="92">
        <v>6582</v>
      </c>
      <c r="E81" s="92">
        <v>14734</v>
      </c>
      <c r="F81" s="92">
        <v>14734</v>
      </c>
    </row>
    <row r="82" spans="1:7" ht="30" customHeight="1">
      <c r="A82" s="75" t="s">
        <v>815</v>
      </c>
      <c r="B82" s="101">
        <v>6050</v>
      </c>
      <c r="C82" s="92">
        <v>38834</v>
      </c>
      <c r="D82" s="92">
        <v>36325</v>
      </c>
      <c r="E82" s="92">
        <v>41338</v>
      </c>
      <c r="F82" s="92">
        <v>41338</v>
      </c>
    </row>
    <row r="83" spans="1:7" s="5" customFormat="1" ht="30" customHeight="1">
      <c r="A83" s="74" t="s">
        <v>879</v>
      </c>
      <c r="B83" s="101">
        <v>6060</v>
      </c>
      <c r="C83" s="100">
        <f>SUM(C81:C82)</f>
        <v>49579</v>
      </c>
      <c r="D83" s="100">
        <f>SUM(D81:D82)</f>
        <v>42907</v>
      </c>
      <c r="E83" s="100">
        <f>SUM(E81:E82)</f>
        <v>56072</v>
      </c>
      <c r="F83" s="100">
        <f>SUM(F81:F82)</f>
        <v>56072</v>
      </c>
    </row>
    <row r="84" spans="1:7" ht="30" customHeight="1">
      <c r="A84" s="75" t="s">
        <v>877</v>
      </c>
      <c r="B84" s="101">
        <v>6070</v>
      </c>
      <c r="C84" s="92">
        <v>10124</v>
      </c>
      <c r="D84" s="92">
        <v>6582</v>
      </c>
      <c r="E84" s="92">
        <v>14113</v>
      </c>
      <c r="F84" s="92">
        <v>14113</v>
      </c>
    </row>
    <row r="85" spans="1:7" ht="30" customHeight="1">
      <c r="A85" s="75" t="s">
        <v>878</v>
      </c>
      <c r="B85" s="101">
        <v>6080</v>
      </c>
      <c r="C85" s="92">
        <v>0</v>
      </c>
      <c r="D85" s="92">
        <v>0</v>
      </c>
      <c r="E85" s="92">
        <v>0</v>
      </c>
      <c r="F85" s="92">
        <v>0</v>
      </c>
    </row>
    <row r="86" spans="1:7" s="5" customFormat="1" ht="30" customHeight="1">
      <c r="A86" s="74" t="s">
        <v>803</v>
      </c>
      <c r="B86" s="101">
        <v>6090</v>
      </c>
      <c r="C86" s="92">
        <v>72095</v>
      </c>
      <c r="D86" s="92">
        <v>70418</v>
      </c>
      <c r="E86" s="92">
        <v>71936</v>
      </c>
      <c r="F86" s="92">
        <v>71936</v>
      </c>
    </row>
    <row r="87" spans="1:7" ht="49.5" customHeight="1">
      <c r="A87" s="23"/>
      <c r="C87" s="28"/>
      <c r="D87" s="24"/>
      <c r="E87" s="24"/>
      <c r="F87" s="24"/>
    </row>
    <row r="88" spans="1:7" ht="19.5" customHeight="1">
      <c r="A88" s="221" t="s">
        <v>1164</v>
      </c>
      <c r="B88" s="222"/>
      <c r="C88" s="573" t="s">
        <v>1165</v>
      </c>
      <c r="D88" s="573"/>
      <c r="E88" s="570" t="s">
        <v>332</v>
      </c>
      <c r="F88" s="570"/>
      <c r="G88" s="250"/>
    </row>
    <row r="89" spans="1:7" s="1" customFormat="1" ht="16.5" customHeight="1">
      <c r="A89" s="132" t="s">
        <v>1166</v>
      </c>
      <c r="B89" s="133"/>
      <c r="C89" s="574" t="s">
        <v>741</v>
      </c>
      <c r="D89" s="574"/>
      <c r="E89" s="571" t="s">
        <v>1167</v>
      </c>
      <c r="F89" s="571"/>
      <c r="G89" s="134"/>
    </row>
    <row r="90" spans="1:7">
      <c r="A90" s="223"/>
      <c r="B90" s="205"/>
      <c r="C90" s="205"/>
      <c r="D90" s="205"/>
      <c r="E90" s="205"/>
      <c r="F90" s="205"/>
      <c r="G90" s="205"/>
    </row>
    <row r="91" spans="1:7">
      <c r="A91" s="221" t="s">
        <v>1168</v>
      </c>
      <c r="B91"/>
      <c r="C91" s="573" t="s">
        <v>1165</v>
      </c>
      <c r="D91" s="573"/>
      <c r="E91" s="570" t="s">
        <v>1169</v>
      </c>
      <c r="F91" s="570"/>
      <c r="G91" s="250"/>
    </row>
    <row r="92" spans="1:7" ht="18.75" customHeight="1">
      <c r="A92"/>
      <c r="B92"/>
      <c r="C92" s="574" t="s">
        <v>741</v>
      </c>
      <c r="D92" s="574"/>
      <c r="E92" s="571" t="s">
        <v>1167</v>
      </c>
      <c r="F92" s="571"/>
      <c r="G92" s="134"/>
    </row>
    <row r="93" spans="1:7">
      <c r="A93"/>
      <c r="B93"/>
      <c r="C93" s="225"/>
      <c r="D93" s="225"/>
      <c r="E93"/>
      <c r="F93" s="226"/>
      <c r="G93" s="226"/>
    </row>
    <row r="94" spans="1:7" s="20" customFormat="1">
      <c r="A94" s="221" t="s">
        <v>1170</v>
      </c>
      <c r="B94"/>
      <c r="C94" s="573" t="s">
        <v>1165</v>
      </c>
      <c r="D94" s="573"/>
      <c r="E94" s="570" t="s">
        <v>1171</v>
      </c>
      <c r="F94" s="570"/>
      <c r="G94" s="250"/>
    </row>
    <row r="95" spans="1:7" s="20" customFormat="1" ht="18.75" customHeight="1">
      <c r="A95" s="221"/>
      <c r="B95"/>
      <c r="C95" s="574" t="s">
        <v>741</v>
      </c>
      <c r="D95" s="574"/>
      <c r="E95" s="571" t="s">
        <v>1167</v>
      </c>
      <c r="F95" s="571"/>
      <c r="G95" s="134"/>
    </row>
    <row r="96" spans="1:7" s="20" customFormat="1">
      <c r="A96" s="221"/>
      <c r="B96"/>
      <c r="C96"/>
      <c r="D96"/>
      <c r="E96" s="575" t="s">
        <v>1294</v>
      </c>
      <c r="F96" s="575"/>
      <c r="G96" s="236"/>
    </row>
    <row r="97" spans="1:7" s="20" customFormat="1">
      <c r="A97" s="221" t="s">
        <v>1172</v>
      </c>
      <c r="B97"/>
      <c r="C97" s="573" t="s">
        <v>1165</v>
      </c>
      <c r="D97" s="573"/>
      <c r="E97" s="575"/>
      <c r="F97" s="575"/>
      <c r="G97" s="250"/>
    </row>
    <row r="98" spans="1:7" s="20" customFormat="1" ht="18.75" customHeight="1">
      <c r="A98"/>
      <c r="B98"/>
      <c r="C98" s="574" t="s">
        <v>741</v>
      </c>
      <c r="D98" s="574"/>
      <c r="E98" s="571" t="s">
        <v>1167</v>
      </c>
      <c r="F98" s="571"/>
      <c r="G98" s="134"/>
    </row>
    <row r="99" spans="1:7" s="20" customFormat="1">
      <c r="A99" s="46"/>
      <c r="F99" s="2"/>
    </row>
    <row r="100" spans="1:7" s="20" customFormat="1">
      <c r="A100" s="46"/>
      <c r="F100" s="2"/>
    </row>
    <row r="101" spans="1:7" s="20" customFormat="1">
      <c r="A101" s="46"/>
      <c r="F101" s="2"/>
    </row>
    <row r="102" spans="1:7" s="20" customFormat="1">
      <c r="A102" s="46"/>
      <c r="F102" s="2"/>
    </row>
    <row r="103" spans="1:7" s="20" customFormat="1">
      <c r="A103" s="46"/>
      <c r="F103" s="2"/>
    </row>
    <row r="104" spans="1:7" s="20" customFormat="1">
      <c r="A104" s="46"/>
      <c r="F104" s="2"/>
    </row>
    <row r="105" spans="1:7" s="20" customFormat="1">
      <c r="A105" s="46"/>
      <c r="F105" s="2"/>
    </row>
    <row r="106" spans="1:7" s="20" customFormat="1">
      <c r="A106" s="46"/>
      <c r="F106" s="2"/>
    </row>
    <row r="107" spans="1:7" s="20" customFormat="1">
      <c r="A107" s="46"/>
      <c r="F107" s="2"/>
    </row>
    <row r="108" spans="1:7" s="20" customFormat="1">
      <c r="A108" s="46"/>
      <c r="F108" s="2"/>
    </row>
    <row r="109" spans="1:7" s="20" customFormat="1">
      <c r="A109" s="46"/>
      <c r="F109" s="2"/>
    </row>
    <row r="110" spans="1:7" s="20" customFormat="1">
      <c r="A110" s="46"/>
      <c r="F110" s="2"/>
    </row>
    <row r="111" spans="1:7" s="20" customFormat="1">
      <c r="A111" s="46"/>
      <c r="F111" s="2"/>
    </row>
    <row r="112" spans="1:7" s="20" customFormat="1">
      <c r="A112" s="46"/>
      <c r="F112" s="2"/>
    </row>
    <row r="113" spans="1:6" s="20" customFormat="1">
      <c r="A113" s="46"/>
      <c r="F113" s="2"/>
    </row>
    <row r="114" spans="1:6" s="20" customFormat="1">
      <c r="A114" s="46"/>
      <c r="F114" s="2"/>
    </row>
    <row r="115" spans="1:6" s="20" customFormat="1">
      <c r="A115" s="46"/>
      <c r="F115" s="2"/>
    </row>
    <row r="116" spans="1:6" s="20" customFormat="1">
      <c r="A116" s="46"/>
      <c r="F116" s="2"/>
    </row>
    <row r="117" spans="1:6" s="20" customFormat="1">
      <c r="A117" s="46"/>
      <c r="F117" s="2"/>
    </row>
    <row r="118" spans="1:6" s="20" customFormat="1">
      <c r="A118" s="46"/>
      <c r="F118" s="2"/>
    </row>
    <row r="119" spans="1:6" s="20" customFormat="1">
      <c r="A119" s="46"/>
      <c r="F119" s="2"/>
    </row>
    <row r="120" spans="1:6" s="20" customFormat="1">
      <c r="A120" s="46"/>
      <c r="F120" s="2"/>
    </row>
    <row r="121" spans="1:6" s="20" customFormat="1">
      <c r="A121" s="46"/>
      <c r="F121" s="2"/>
    </row>
    <row r="122" spans="1:6" s="20" customFormat="1">
      <c r="A122" s="46"/>
      <c r="F122" s="2"/>
    </row>
    <row r="123" spans="1:6" s="20" customFormat="1">
      <c r="A123" s="46"/>
      <c r="F123" s="2"/>
    </row>
    <row r="124" spans="1:6" s="20" customFormat="1">
      <c r="A124" s="46"/>
      <c r="F124" s="2"/>
    </row>
    <row r="125" spans="1:6" s="20" customFormat="1">
      <c r="A125" s="46"/>
      <c r="F125" s="2"/>
    </row>
    <row r="126" spans="1:6" s="20" customFormat="1">
      <c r="A126" s="46"/>
      <c r="F126" s="2"/>
    </row>
    <row r="127" spans="1:6" s="20" customFormat="1">
      <c r="A127" s="46"/>
      <c r="F127" s="2"/>
    </row>
    <row r="128" spans="1:6" s="20" customFormat="1">
      <c r="A128" s="46"/>
      <c r="F128" s="2"/>
    </row>
    <row r="129" spans="1:6" s="20" customFormat="1">
      <c r="A129" s="46"/>
      <c r="F129" s="2"/>
    </row>
    <row r="130" spans="1:6" s="20" customFormat="1">
      <c r="A130" s="46"/>
      <c r="F130" s="2"/>
    </row>
    <row r="131" spans="1:6" s="20" customFormat="1">
      <c r="A131" s="46"/>
      <c r="F131" s="2"/>
    </row>
    <row r="132" spans="1:6" s="20" customFormat="1">
      <c r="A132" s="46"/>
      <c r="F132" s="2"/>
    </row>
    <row r="133" spans="1:6" s="20" customFormat="1">
      <c r="A133" s="46"/>
      <c r="F133" s="2"/>
    </row>
    <row r="134" spans="1:6" s="20" customFormat="1">
      <c r="A134" s="46"/>
      <c r="F134" s="2"/>
    </row>
    <row r="135" spans="1:6" s="20" customFormat="1">
      <c r="A135" s="46"/>
      <c r="F135" s="2"/>
    </row>
    <row r="136" spans="1:6" s="20" customFormat="1">
      <c r="A136" s="46"/>
      <c r="F136" s="2"/>
    </row>
    <row r="137" spans="1:6" s="20" customFormat="1">
      <c r="A137" s="46"/>
      <c r="F137" s="2"/>
    </row>
    <row r="138" spans="1:6" s="20" customFormat="1">
      <c r="A138" s="46"/>
      <c r="F138" s="2"/>
    </row>
    <row r="139" spans="1:6" s="20" customFormat="1">
      <c r="A139" s="46"/>
      <c r="F139" s="2"/>
    </row>
    <row r="140" spans="1:6" s="20" customFormat="1">
      <c r="A140" s="46"/>
      <c r="F140" s="2"/>
    </row>
    <row r="141" spans="1:6" s="20" customFormat="1">
      <c r="A141" s="46"/>
      <c r="F141" s="2"/>
    </row>
    <row r="142" spans="1:6" s="20" customFormat="1">
      <c r="A142" s="46"/>
      <c r="F142" s="2"/>
    </row>
    <row r="143" spans="1:6" s="20" customFormat="1">
      <c r="A143" s="46"/>
      <c r="F143" s="2"/>
    </row>
    <row r="144" spans="1:6" s="20" customFormat="1">
      <c r="A144" s="46"/>
      <c r="F144" s="2"/>
    </row>
    <row r="145" spans="1:6" s="20" customFormat="1">
      <c r="A145" s="46"/>
      <c r="F145" s="2"/>
    </row>
    <row r="146" spans="1:6" s="20" customFormat="1">
      <c r="A146" s="46"/>
      <c r="F146" s="2"/>
    </row>
    <row r="147" spans="1:6" s="20" customFormat="1">
      <c r="A147" s="46"/>
      <c r="F147" s="2"/>
    </row>
    <row r="148" spans="1:6" s="20" customFormat="1">
      <c r="A148" s="46"/>
      <c r="F148" s="2"/>
    </row>
    <row r="149" spans="1:6" s="20" customFormat="1">
      <c r="A149" s="46"/>
      <c r="F149" s="2"/>
    </row>
    <row r="150" spans="1:6" s="20" customFormat="1">
      <c r="A150" s="46"/>
      <c r="F150" s="2"/>
    </row>
    <row r="151" spans="1:6" s="20" customFormat="1">
      <c r="A151" s="46"/>
      <c r="F151" s="2"/>
    </row>
    <row r="152" spans="1:6" s="20" customFormat="1">
      <c r="A152" s="46"/>
      <c r="F152" s="2"/>
    </row>
    <row r="153" spans="1:6" s="20" customFormat="1">
      <c r="A153" s="46"/>
      <c r="F153" s="2"/>
    </row>
    <row r="154" spans="1:6" s="20" customFormat="1">
      <c r="A154" s="46"/>
      <c r="F154" s="2"/>
    </row>
    <row r="155" spans="1:6" s="20" customFormat="1">
      <c r="A155" s="46"/>
      <c r="F155" s="2"/>
    </row>
    <row r="156" spans="1:6" s="20" customFormat="1">
      <c r="A156" s="46"/>
      <c r="F156" s="2"/>
    </row>
    <row r="157" spans="1:6" s="20" customFormat="1">
      <c r="A157" s="46"/>
      <c r="F157" s="2"/>
    </row>
    <row r="158" spans="1:6" s="20" customFormat="1">
      <c r="A158" s="46"/>
      <c r="F158" s="2"/>
    </row>
    <row r="159" spans="1:6" s="20" customFormat="1">
      <c r="A159" s="46"/>
      <c r="F159" s="2"/>
    </row>
    <row r="160" spans="1:6" s="20" customFormat="1">
      <c r="A160" s="46"/>
      <c r="F160" s="2"/>
    </row>
    <row r="161" spans="1:6" s="20" customFormat="1">
      <c r="A161" s="46"/>
      <c r="F161" s="2"/>
    </row>
    <row r="162" spans="1:6" s="20" customFormat="1">
      <c r="A162" s="46"/>
      <c r="F162" s="2"/>
    </row>
    <row r="163" spans="1:6" s="20" customFormat="1">
      <c r="A163" s="46"/>
      <c r="F163" s="2"/>
    </row>
    <row r="164" spans="1:6" s="20" customFormat="1">
      <c r="A164" s="46"/>
      <c r="F164" s="2"/>
    </row>
    <row r="165" spans="1:6" s="20" customFormat="1">
      <c r="A165" s="46"/>
      <c r="F165" s="2"/>
    </row>
    <row r="166" spans="1:6" s="20" customFormat="1">
      <c r="A166" s="46"/>
      <c r="F166" s="2"/>
    </row>
    <row r="167" spans="1:6" s="20" customFormat="1">
      <c r="A167" s="46"/>
      <c r="F167" s="2"/>
    </row>
    <row r="168" spans="1:6" s="20" customFormat="1">
      <c r="A168" s="46"/>
      <c r="F168" s="2"/>
    </row>
    <row r="169" spans="1:6" s="20" customFormat="1">
      <c r="A169" s="46"/>
      <c r="F169" s="2"/>
    </row>
    <row r="170" spans="1:6" s="20" customFormat="1">
      <c r="A170" s="46"/>
      <c r="F170" s="2"/>
    </row>
    <row r="171" spans="1:6" s="20" customFormat="1">
      <c r="A171" s="46"/>
      <c r="F171" s="2"/>
    </row>
    <row r="172" spans="1:6" s="20" customFormat="1">
      <c r="A172" s="46"/>
      <c r="F172" s="2"/>
    </row>
    <row r="173" spans="1:6" s="20" customFormat="1">
      <c r="A173" s="46"/>
      <c r="F173" s="2"/>
    </row>
    <row r="174" spans="1:6" s="20" customFormat="1">
      <c r="A174" s="46"/>
      <c r="F174" s="2"/>
    </row>
    <row r="175" spans="1:6" s="20" customFormat="1">
      <c r="A175" s="46"/>
      <c r="F175" s="2"/>
    </row>
    <row r="176" spans="1:6" s="20" customFormat="1">
      <c r="A176" s="46"/>
      <c r="F176" s="2"/>
    </row>
    <row r="177" spans="1:6" s="20" customFormat="1">
      <c r="A177" s="46"/>
      <c r="F177" s="2"/>
    </row>
    <row r="178" spans="1:6" s="20" customFormat="1">
      <c r="A178" s="46"/>
      <c r="F178" s="2"/>
    </row>
    <row r="179" spans="1:6" s="20" customFormat="1">
      <c r="A179" s="46"/>
      <c r="F179" s="2"/>
    </row>
    <row r="180" spans="1:6" s="20" customFormat="1">
      <c r="A180" s="46"/>
      <c r="F180" s="2"/>
    </row>
    <row r="181" spans="1:6" s="20" customFormat="1">
      <c r="A181" s="46"/>
      <c r="F181" s="2"/>
    </row>
    <row r="182" spans="1:6" s="20" customFormat="1">
      <c r="A182" s="46"/>
      <c r="F182" s="2"/>
    </row>
    <row r="183" spans="1:6" s="20" customFormat="1">
      <c r="A183" s="46"/>
      <c r="F183" s="2"/>
    </row>
    <row r="184" spans="1:6" s="20" customFormat="1">
      <c r="A184" s="46"/>
      <c r="F184" s="2"/>
    </row>
    <row r="185" spans="1:6" s="20" customFormat="1">
      <c r="A185" s="46"/>
      <c r="F185" s="2"/>
    </row>
    <row r="186" spans="1:6" s="20" customFormat="1">
      <c r="A186" s="46"/>
      <c r="F186" s="2"/>
    </row>
    <row r="187" spans="1:6" s="20" customFormat="1">
      <c r="A187" s="46"/>
      <c r="F187" s="2"/>
    </row>
    <row r="188" spans="1:6" s="20" customFormat="1">
      <c r="A188" s="46"/>
      <c r="F188" s="2"/>
    </row>
    <row r="189" spans="1:6" s="20" customFormat="1">
      <c r="A189" s="46"/>
      <c r="F189" s="2"/>
    </row>
    <row r="190" spans="1:6" s="20" customFormat="1">
      <c r="A190" s="46"/>
      <c r="F190" s="2"/>
    </row>
    <row r="191" spans="1:6" s="20" customFormat="1">
      <c r="A191" s="46"/>
      <c r="F191" s="2"/>
    </row>
    <row r="192" spans="1:6" s="20" customFormat="1">
      <c r="A192" s="46"/>
      <c r="F192" s="2"/>
    </row>
    <row r="193" spans="1:6" s="20" customFormat="1">
      <c r="A193" s="46"/>
      <c r="F193" s="2"/>
    </row>
    <row r="194" spans="1:6" s="20" customFormat="1">
      <c r="A194" s="46"/>
      <c r="F194" s="2"/>
    </row>
    <row r="195" spans="1:6" s="20" customFormat="1">
      <c r="A195" s="46"/>
      <c r="F195" s="2"/>
    </row>
    <row r="196" spans="1:6" s="20" customFormat="1">
      <c r="A196" s="46"/>
      <c r="F196" s="2"/>
    </row>
    <row r="197" spans="1:6" s="20" customFormat="1">
      <c r="A197" s="46"/>
      <c r="F197" s="2"/>
    </row>
    <row r="198" spans="1:6" s="20" customFormat="1">
      <c r="A198" s="46"/>
      <c r="F198" s="2"/>
    </row>
    <row r="199" spans="1:6" s="20" customFormat="1">
      <c r="A199" s="46"/>
      <c r="F199" s="2"/>
    </row>
    <row r="200" spans="1:6" s="20" customFormat="1">
      <c r="A200" s="46"/>
      <c r="F200" s="2"/>
    </row>
    <row r="201" spans="1:6" s="20" customFormat="1">
      <c r="A201" s="46"/>
      <c r="F201" s="2"/>
    </row>
    <row r="202" spans="1:6" s="20" customFormat="1">
      <c r="A202" s="46"/>
      <c r="F202" s="2"/>
    </row>
    <row r="203" spans="1:6" s="20" customFormat="1">
      <c r="A203" s="46"/>
      <c r="F203" s="2"/>
    </row>
    <row r="204" spans="1:6" s="20" customFormat="1">
      <c r="A204" s="46"/>
      <c r="F204" s="2"/>
    </row>
    <row r="205" spans="1:6" s="20" customFormat="1">
      <c r="A205" s="46"/>
      <c r="F205" s="2"/>
    </row>
    <row r="206" spans="1:6" s="20" customFormat="1">
      <c r="A206" s="46"/>
      <c r="F206" s="2"/>
    </row>
    <row r="207" spans="1:6" s="20" customFormat="1">
      <c r="A207" s="46"/>
      <c r="F207" s="2"/>
    </row>
    <row r="208" spans="1:6" s="20" customFormat="1">
      <c r="A208" s="46"/>
      <c r="F208" s="2"/>
    </row>
    <row r="209" spans="1:6" s="20" customFormat="1">
      <c r="A209" s="46"/>
      <c r="F209" s="2"/>
    </row>
    <row r="210" spans="1:6" s="20" customFormat="1">
      <c r="A210" s="46"/>
      <c r="F210" s="2"/>
    </row>
    <row r="211" spans="1:6" s="20" customFormat="1">
      <c r="A211" s="46"/>
      <c r="F211" s="2"/>
    </row>
    <row r="212" spans="1:6" s="20" customFormat="1">
      <c r="A212" s="46"/>
      <c r="F212" s="2"/>
    </row>
    <row r="213" spans="1:6" s="20" customFormat="1">
      <c r="A213" s="46"/>
      <c r="F213" s="2"/>
    </row>
    <row r="214" spans="1:6" s="20" customFormat="1">
      <c r="A214" s="46"/>
      <c r="F214" s="2"/>
    </row>
    <row r="215" spans="1:6" s="20" customFormat="1">
      <c r="A215" s="46"/>
      <c r="F215" s="2"/>
    </row>
    <row r="216" spans="1:6" s="20" customFormat="1">
      <c r="A216" s="46"/>
      <c r="F216" s="2"/>
    </row>
    <row r="217" spans="1:6" s="20" customFormat="1">
      <c r="A217" s="46"/>
      <c r="F217" s="2"/>
    </row>
    <row r="218" spans="1:6" s="20" customFormat="1">
      <c r="A218" s="46"/>
      <c r="F218" s="2"/>
    </row>
    <row r="219" spans="1:6" s="20" customFormat="1">
      <c r="A219" s="46"/>
      <c r="F219" s="2"/>
    </row>
    <row r="220" spans="1:6" s="20" customFormat="1">
      <c r="A220" s="46"/>
      <c r="F220" s="2"/>
    </row>
    <row r="221" spans="1:6" s="20" customFormat="1">
      <c r="A221" s="46"/>
      <c r="F221" s="2"/>
    </row>
    <row r="222" spans="1:6" s="20" customFormat="1">
      <c r="A222" s="46"/>
      <c r="F222" s="2"/>
    </row>
    <row r="223" spans="1:6" s="20" customFormat="1">
      <c r="A223" s="46"/>
      <c r="F223" s="2"/>
    </row>
    <row r="224" spans="1:6" s="20" customFormat="1">
      <c r="A224" s="46"/>
      <c r="F224" s="2"/>
    </row>
    <row r="225" spans="1:6" s="20" customFormat="1">
      <c r="A225" s="46"/>
      <c r="F225" s="2"/>
    </row>
    <row r="226" spans="1:6" s="20" customFormat="1">
      <c r="A226" s="46"/>
      <c r="F226" s="2"/>
    </row>
    <row r="227" spans="1:6" s="20" customFormat="1">
      <c r="A227" s="46"/>
      <c r="F227" s="2"/>
    </row>
    <row r="228" spans="1:6" s="20" customFormat="1">
      <c r="A228" s="46"/>
      <c r="F228" s="2"/>
    </row>
    <row r="229" spans="1:6" s="20" customFormat="1">
      <c r="A229" s="46"/>
      <c r="F229" s="2"/>
    </row>
    <row r="230" spans="1:6" s="20" customFormat="1">
      <c r="A230" s="46"/>
      <c r="F230" s="2"/>
    </row>
    <row r="231" spans="1:6" s="20" customFormat="1">
      <c r="A231" s="46"/>
      <c r="F231" s="2"/>
    </row>
    <row r="232" spans="1:6" s="20" customFormat="1">
      <c r="A232" s="46"/>
      <c r="F232" s="2"/>
    </row>
    <row r="233" spans="1:6" s="20" customFormat="1">
      <c r="A233" s="46"/>
      <c r="F233" s="2"/>
    </row>
    <row r="234" spans="1:6" s="20" customFormat="1">
      <c r="A234" s="46"/>
      <c r="F234" s="2"/>
    </row>
    <row r="235" spans="1:6" s="20" customFormat="1">
      <c r="A235" s="46"/>
      <c r="F235" s="2"/>
    </row>
    <row r="236" spans="1:6" s="20" customFormat="1">
      <c r="A236" s="46"/>
      <c r="F236" s="2"/>
    </row>
    <row r="237" spans="1:6" s="20" customFormat="1">
      <c r="A237" s="46"/>
      <c r="F237" s="2"/>
    </row>
    <row r="238" spans="1:6" s="20" customFormat="1">
      <c r="A238" s="46"/>
      <c r="F238" s="2"/>
    </row>
    <row r="239" spans="1:6" s="20" customFormat="1">
      <c r="A239" s="46"/>
      <c r="F239" s="2"/>
    </row>
    <row r="240" spans="1:6" s="20" customFormat="1">
      <c r="A240" s="46"/>
      <c r="F240" s="2"/>
    </row>
    <row r="241" spans="1:6" s="20" customFormat="1">
      <c r="A241" s="46"/>
      <c r="F241" s="2"/>
    </row>
    <row r="242" spans="1:6" s="20" customFormat="1">
      <c r="A242" s="46"/>
      <c r="F242" s="2"/>
    </row>
    <row r="243" spans="1:6" s="20" customFormat="1">
      <c r="A243" s="46"/>
      <c r="F243" s="2"/>
    </row>
    <row r="244" spans="1:6" s="20" customFormat="1">
      <c r="A244" s="46"/>
      <c r="F244" s="2"/>
    </row>
    <row r="245" spans="1:6" s="20" customFormat="1">
      <c r="A245" s="46"/>
      <c r="F245" s="2"/>
    </row>
    <row r="246" spans="1:6" s="20" customFormat="1">
      <c r="A246" s="46"/>
      <c r="F246" s="2"/>
    </row>
    <row r="247" spans="1:6" s="20" customFormat="1">
      <c r="A247" s="46"/>
      <c r="F247" s="2"/>
    </row>
    <row r="248" spans="1:6" s="20" customFormat="1">
      <c r="A248" s="46"/>
      <c r="F248" s="2"/>
    </row>
    <row r="249" spans="1:6" s="20" customFormat="1">
      <c r="A249" s="46"/>
      <c r="F249" s="2"/>
    </row>
    <row r="250" spans="1:6" s="20" customFormat="1">
      <c r="A250" s="46"/>
      <c r="F250" s="2"/>
    </row>
    <row r="251" spans="1:6" s="20" customFormat="1">
      <c r="A251" s="46"/>
      <c r="F251" s="2"/>
    </row>
    <row r="252" spans="1:6" s="20" customFormat="1">
      <c r="A252" s="46"/>
      <c r="F252" s="2"/>
    </row>
    <row r="253" spans="1:6" s="20" customFormat="1">
      <c r="A253" s="46"/>
      <c r="F253" s="2"/>
    </row>
    <row r="254" spans="1:6" s="20" customFormat="1">
      <c r="A254" s="46"/>
      <c r="F254" s="2"/>
    </row>
    <row r="255" spans="1:6" s="20" customFormat="1">
      <c r="A255" s="46"/>
      <c r="F255" s="2"/>
    </row>
    <row r="256" spans="1:6" s="20" customFormat="1">
      <c r="A256" s="46"/>
      <c r="F256" s="2"/>
    </row>
    <row r="257" spans="1:6" s="20" customFormat="1">
      <c r="A257" s="46"/>
      <c r="F257" s="2"/>
    </row>
    <row r="258" spans="1:6" s="20" customFormat="1">
      <c r="A258" s="46"/>
      <c r="F258" s="2"/>
    </row>
  </sheetData>
  <mergeCells count="52">
    <mergeCell ref="C95:D95"/>
    <mergeCell ref="C97:D97"/>
    <mergeCell ref="C98:D98"/>
    <mergeCell ref="E95:F95"/>
    <mergeCell ref="E98:F98"/>
    <mergeCell ref="E96:F97"/>
    <mergeCell ref="C91:D91"/>
    <mergeCell ref="C92:D92"/>
    <mergeCell ref="C94:D94"/>
    <mergeCell ref="E94:F94"/>
    <mergeCell ref="E91:F91"/>
    <mergeCell ref="E92:F92"/>
    <mergeCell ref="A66:F66"/>
    <mergeCell ref="A59:F59"/>
    <mergeCell ref="E88:F88"/>
    <mergeCell ref="E89:F89"/>
    <mergeCell ref="A76:F76"/>
    <mergeCell ref="A72:F72"/>
    <mergeCell ref="C88:D88"/>
    <mergeCell ref="C89:D89"/>
    <mergeCell ref="A42:A43"/>
    <mergeCell ref="B42:B43"/>
    <mergeCell ref="B30:F30"/>
    <mergeCell ref="A70:F70"/>
    <mergeCell ref="A45:F45"/>
    <mergeCell ref="C42:C43"/>
    <mergeCell ref="A40:F40"/>
    <mergeCell ref="E32:F32"/>
    <mergeCell ref="A38:F38"/>
    <mergeCell ref="F42:F43"/>
    <mergeCell ref="E42:E43"/>
    <mergeCell ref="D42:D43"/>
    <mergeCell ref="C28:E28"/>
    <mergeCell ref="E29:F29"/>
    <mergeCell ref="B31:C31"/>
    <mergeCell ref="B32:D32"/>
    <mergeCell ref="E31:F31"/>
    <mergeCell ref="C27:E27"/>
    <mergeCell ref="D6:F6"/>
    <mergeCell ref="D2:F2"/>
    <mergeCell ref="B21:D21"/>
    <mergeCell ref="B22:D22"/>
    <mergeCell ref="B23:D23"/>
    <mergeCell ref="A17:B17"/>
    <mergeCell ref="B29:C29"/>
    <mergeCell ref="A14:B14"/>
    <mergeCell ref="B24:D24"/>
    <mergeCell ref="B25:D25"/>
    <mergeCell ref="B26:D26"/>
    <mergeCell ref="D1:F1"/>
    <mergeCell ref="D5:E5"/>
    <mergeCell ref="D7:F7"/>
  </mergeCells>
  <phoneticPr fontId="3" type="noConversion"/>
  <pageMargins left="0.78740157480314965" right="0" top="0.39370078740157483" bottom="0.39370078740157483" header="0.39370078740157483" footer="0.19685039370078741"/>
  <pageSetup paperSize="9" scale="70" orientation="portrait" verticalDpi="300" r:id="rId1"/>
  <headerFooter alignWithMargins="0">
    <oddHeader xml:space="preserve">&amp;C&amp;"Times New Roman,обычный"&amp;14&amp;R&amp;"Times New Roman,обычный"&amp;14 </oddHeader>
  </headerFooter>
  <rowBreaks count="1" manualBreakCount="1">
    <brk id="36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30"/>
  <sheetViews>
    <sheetView workbookViewId="0">
      <selection activeCell="B1" sqref="B1:C1"/>
    </sheetView>
  </sheetViews>
  <sheetFormatPr defaultRowHeight="12.75"/>
  <cols>
    <col min="1" max="1" width="3.28515625" customWidth="1"/>
    <col min="2" max="2" width="16.28515625" customWidth="1"/>
    <col min="3" max="3" width="25" customWidth="1"/>
    <col min="4" max="4" width="13.28515625" customWidth="1"/>
    <col min="5" max="6" width="12.28515625" customWidth="1"/>
    <col min="7" max="7" width="11.7109375" customWidth="1"/>
    <col min="8" max="8" width="12.28515625" customWidth="1"/>
    <col min="9" max="9" width="11.28515625" customWidth="1"/>
    <col min="10" max="10" width="10.42578125" customWidth="1"/>
    <col min="13" max="13" width="13.140625" customWidth="1"/>
    <col min="14" max="14" width="11.5703125" customWidth="1"/>
    <col min="15" max="15" width="11.7109375" customWidth="1"/>
  </cols>
  <sheetData>
    <row r="1" spans="1:15" ht="25.5" customHeight="1">
      <c r="A1" s="143"/>
      <c r="B1" s="837" t="s">
        <v>364</v>
      </c>
      <c r="C1" s="837"/>
      <c r="D1" s="441"/>
      <c r="E1" s="144"/>
      <c r="F1" s="144"/>
      <c r="G1" s="144"/>
      <c r="H1" s="144"/>
      <c r="I1" s="144"/>
      <c r="J1" s="144"/>
      <c r="K1" s="144"/>
      <c r="L1" s="834" t="s">
        <v>228</v>
      </c>
      <c r="M1" s="834"/>
      <c r="N1" s="834"/>
      <c r="O1" s="834"/>
    </row>
    <row r="2" spans="1:15" ht="46.5" customHeight="1">
      <c r="A2" s="835" t="s">
        <v>229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</row>
    <row r="3" spans="1:15" ht="23.25" customHeight="1">
      <c r="A3" s="143"/>
      <c r="B3" s="836" t="s">
        <v>319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</row>
    <row r="4" spans="1:15" ht="15">
      <c r="A4" s="143"/>
      <c r="B4" s="834" t="s">
        <v>230</v>
      </c>
      <c r="C4" s="834"/>
      <c r="D4" s="456">
        <v>24114</v>
      </c>
      <c r="E4" s="144" t="s">
        <v>997</v>
      </c>
      <c r="F4" s="144"/>
      <c r="G4" s="442"/>
      <c r="H4" s="442"/>
      <c r="I4" s="440"/>
      <c r="J4" s="440"/>
      <c r="K4" s="440"/>
      <c r="L4" s="440"/>
      <c r="M4" s="143"/>
    </row>
    <row r="5" spans="1:15" ht="15" customHeight="1">
      <c r="A5" s="143"/>
      <c r="B5" s="834" t="s">
        <v>231</v>
      </c>
      <c r="C5" s="834"/>
      <c r="D5" s="456">
        <v>28021</v>
      </c>
      <c r="E5" s="144" t="s">
        <v>997</v>
      </c>
      <c r="F5" s="144"/>
      <c r="G5" s="442"/>
      <c r="H5" s="442"/>
      <c r="I5" s="440"/>
      <c r="J5" s="440"/>
      <c r="K5" s="440"/>
      <c r="L5" s="440"/>
      <c r="M5" s="143"/>
    </row>
    <row r="6" spans="1:15" ht="6.75" customHeight="1">
      <c r="A6" s="143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143"/>
    </row>
    <row r="7" spans="1:15" ht="18.75" customHeight="1">
      <c r="A7" s="827" t="s">
        <v>996</v>
      </c>
      <c r="B7" s="827"/>
      <c r="C7" s="827"/>
      <c r="D7" s="827"/>
      <c r="E7" s="443"/>
      <c r="F7" s="443"/>
      <c r="G7" s="443"/>
      <c r="H7" s="443"/>
      <c r="I7" s="443"/>
      <c r="J7" s="443"/>
      <c r="K7" s="443"/>
      <c r="L7" s="444"/>
      <c r="M7" s="444"/>
      <c r="O7" s="444" t="s">
        <v>997</v>
      </c>
    </row>
    <row r="8" spans="1:15" ht="28.5" customHeight="1">
      <c r="A8" s="829" t="s">
        <v>978</v>
      </c>
      <c r="B8" s="828" t="s">
        <v>998</v>
      </c>
      <c r="C8" s="828" t="s">
        <v>999</v>
      </c>
      <c r="D8" s="828" t="s">
        <v>1000</v>
      </c>
      <c r="E8" s="828" t="s">
        <v>1001</v>
      </c>
      <c r="F8" s="828"/>
      <c r="G8" s="828" t="s">
        <v>1002</v>
      </c>
      <c r="H8" s="828"/>
      <c r="I8" s="828" t="s">
        <v>1003</v>
      </c>
      <c r="J8" s="828"/>
      <c r="K8" s="828" t="s">
        <v>1004</v>
      </c>
      <c r="L8" s="828"/>
      <c r="M8" s="831" t="s">
        <v>1005</v>
      </c>
      <c r="N8" s="838" t="s">
        <v>232</v>
      </c>
      <c r="O8" s="839"/>
    </row>
    <row r="9" spans="1:15" ht="28.5" customHeight="1">
      <c r="A9" s="830"/>
      <c r="B9" s="828"/>
      <c r="C9" s="828"/>
      <c r="D9" s="828"/>
      <c r="E9" s="828"/>
      <c r="F9" s="828"/>
      <c r="G9" s="828"/>
      <c r="H9" s="828"/>
      <c r="I9" s="828"/>
      <c r="J9" s="828"/>
      <c r="K9" s="828"/>
      <c r="L9" s="828"/>
      <c r="M9" s="832"/>
      <c r="N9" s="840"/>
      <c r="O9" s="841"/>
    </row>
    <row r="10" spans="1:15" ht="23.25" customHeight="1">
      <c r="A10" s="830"/>
      <c r="B10" s="828"/>
      <c r="C10" s="828"/>
      <c r="D10" s="828"/>
      <c r="E10" s="145" t="s">
        <v>1006</v>
      </c>
      <c r="F10" s="145" t="s">
        <v>1007</v>
      </c>
      <c r="G10" s="145" t="s">
        <v>1006</v>
      </c>
      <c r="H10" s="145" t="s">
        <v>1007</v>
      </c>
      <c r="I10" s="145" t="s">
        <v>1006</v>
      </c>
      <c r="J10" s="145" t="s">
        <v>1007</v>
      </c>
      <c r="K10" s="145" t="s">
        <v>1006</v>
      </c>
      <c r="L10" s="145" t="s">
        <v>1007</v>
      </c>
      <c r="M10" s="439" t="s">
        <v>1008</v>
      </c>
      <c r="N10" s="145" t="s">
        <v>1006</v>
      </c>
      <c r="O10" s="145" t="s">
        <v>1007</v>
      </c>
    </row>
    <row r="11" spans="1:15" ht="17.25" customHeight="1">
      <c r="A11" s="445">
        <v>1</v>
      </c>
      <c r="B11" s="145">
        <v>2</v>
      </c>
      <c r="C11" s="145">
        <v>3</v>
      </c>
      <c r="D11" s="145">
        <v>4</v>
      </c>
      <c r="E11" s="145">
        <v>5</v>
      </c>
      <c r="F11" s="145">
        <v>6</v>
      </c>
      <c r="G11" s="145">
        <v>7</v>
      </c>
      <c r="H11" s="145">
        <v>8</v>
      </c>
      <c r="I11" s="145">
        <v>9</v>
      </c>
      <c r="J11" s="145">
        <v>10</v>
      </c>
      <c r="K11" s="145">
        <v>11</v>
      </c>
      <c r="L11" s="145">
        <v>12</v>
      </c>
      <c r="M11" s="445">
        <v>13</v>
      </c>
      <c r="N11" s="446">
        <v>14</v>
      </c>
      <c r="O11" s="446">
        <v>15</v>
      </c>
    </row>
    <row r="12" spans="1:15" ht="45">
      <c r="A12" s="187">
        <v>1</v>
      </c>
      <c r="B12" s="188" t="s">
        <v>1046</v>
      </c>
      <c r="C12" s="189" t="s">
        <v>1047</v>
      </c>
      <c r="D12" s="190" t="s">
        <v>1048</v>
      </c>
      <c r="E12" s="188" t="s">
        <v>320</v>
      </c>
      <c r="F12" s="188">
        <v>364.5</v>
      </c>
      <c r="G12" s="188">
        <v>59</v>
      </c>
      <c r="H12" s="188">
        <v>464.1</v>
      </c>
      <c r="I12" s="188">
        <v>3</v>
      </c>
      <c r="J12" s="188">
        <v>11.6</v>
      </c>
      <c r="K12" s="188">
        <v>31</v>
      </c>
      <c r="L12" s="188">
        <v>76.5</v>
      </c>
      <c r="M12" s="447"/>
      <c r="N12" s="188">
        <v>88</v>
      </c>
      <c r="O12" s="188">
        <v>266.7</v>
      </c>
    </row>
    <row r="13" spans="1:15" ht="19.5" customHeight="1">
      <c r="A13" s="193"/>
      <c r="B13" s="842" t="s">
        <v>321</v>
      </c>
      <c r="C13" s="842"/>
      <c r="D13" s="842"/>
      <c r="E13" s="842"/>
      <c r="F13" s="842"/>
      <c r="G13" s="842"/>
      <c r="H13" s="842"/>
      <c r="I13" s="842"/>
      <c r="J13" s="842"/>
      <c r="K13" s="842"/>
      <c r="L13" s="842"/>
      <c r="M13" s="842"/>
      <c r="N13" s="842"/>
      <c r="O13" s="842"/>
    </row>
    <row r="14" spans="1:15" ht="24" customHeight="1">
      <c r="A14" s="827" t="s">
        <v>1009</v>
      </c>
      <c r="B14" s="827"/>
      <c r="C14" s="827"/>
      <c r="D14" s="827"/>
      <c r="E14" s="443"/>
      <c r="F14" s="443"/>
      <c r="G14" s="443"/>
      <c r="H14" s="443"/>
      <c r="I14" s="443"/>
      <c r="J14" s="443"/>
      <c r="K14" s="443"/>
      <c r="L14" s="444"/>
      <c r="M14" s="444"/>
      <c r="O14" s="444" t="s">
        <v>997</v>
      </c>
    </row>
    <row r="15" spans="1:15" ht="30" customHeight="1">
      <c r="A15" s="829" t="s">
        <v>978</v>
      </c>
      <c r="B15" s="828" t="s">
        <v>998</v>
      </c>
      <c r="C15" s="828" t="s">
        <v>1010</v>
      </c>
      <c r="D15" s="828" t="s">
        <v>1000</v>
      </c>
      <c r="E15" s="828" t="s">
        <v>1001</v>
      </c>
      <c r="F15" s="828"/>
      <c r="G15" s="828" t="s">
        <v>1002</v>
      </c>
      <c r="H15" s="828"/>
      <c r="I15" s="828" t="s">
        <v>1003</v>
      </c>
      <c r="J15" s="828"/>
      <c r="K15" s="828" t="s">
        <v>1004</v>
      </c>
      <c r="L15" s="828"/>
      <c r="M15" s="831" t="s">
        <v>1005</v>
      </c>
      <c r="N15" s="838" t="s">
        <v>232</v>
      </c>
      <c r="O15" s="839"/>
    </row>
    <row r="16" spans="1:15" ht="19.5" customHeight="1">
      <c r="A16" s="830"/>
      <c r="B16" s="828"/>
      <c r="C16" s="828"/>
      <c r="D16" s="828"/>
      <c r="E16" s="828"/>
      <c r="F16" s="828"/>
      <c r="G16" s="828"/>
      <c r="H16" s="828"/>
      <c r="I16" s="828"/>
      <c r="J16" s="828"/>
      <c r="K16" s="828"/>
      <c r="L16" s="828"/>
      <c r="M16" s="832"/>
      <c r="N16" s="840"/>
      <c r="O16" s="841"/>
    </row>
    <row r="17" spans="1:15" ht="21.75" customHeight="1">
      <c r="A17" s="830"/>
      <c r="B17" s="828"/>
      <c r="C17" s="828"/>
      <c r="D17" s="828"/>
      <c r="E17" s="145" t="s">
        <v>1006</v>
      </c>
      <c r="F17" s="145" t="s">
        <v>1007</v>
      </c>
      <c r="G17" s="145" t="s">
        <v>1006</v>
      </c>
      <c r="H17" s="145" t="s">
        <v>1007</v>
      </c>
      <c r="I17" s="145" t="s">
        <v>1006</v>
      </c>
      <c r="J17" s="145" t="s">
        <v>1007</v>
      </c>
      <c r="K17" s="145" t="s">
        <v>1006</v>
      </c>
      <c r="L17" s="145" t="s">
        <v>1007</v>
      </c>
      <c r="M17" s="439" t="s">
        <v>1008</v>
      </c>
      <c r="N17" s="145" t="s">
        <v>1006</v>
      </c>
      <c r="O17" s="145" t="s">
        <v>1007</v>
      </c>
    </row>
    <row r="18" spans="1:15">
      <c r="A18" s="445">
        <v>1</v>
      </c>
      <c r="B18" s="145">
        <v>2</v>
      </c>
      <c r="C18" s="145">
        <v>3</v>
      </c>
      <c r="D18" s="145">
        <v>4</v>
      </c>
      <c r="E18" s="145">
        <v>5</v>
      </c>
      <c r="F18" s="145">
        <v>6</v>
      </c>
      <c r="G18" s="145">
        <v>7</v>
      </c>
      <c r="H18" s="145">
        <v>8</v>
      </c>
      <c r="I18" s="145">
        <v>9</v>
      </c>
      <c r="J18" s="145">
        <v>10</v>
      </c>
      <c r="K18" s="145">
        <v>11</v>
      </c>
      <c r="L18" s="145">
        <v>12</v>
      </c>
      <c r="M18" s="445">
        <v>13</v>
      </c>
      <c r="N18" s="448">
        <v>14</v>
      </c>
      <c r="O18" s="448">
        <v>15</v>
      </c>
    </row>
    <row r="19" spans="1:15" ht="60.75" customHeight="1">
      <c r="A19" s="187">
        <v>1</v>
      </c>
      <c r="B19" s="188" t="s">
        <v>1049</v>
      </c>
      <c r="C19" s="191" t="s">
        <v>1050</v>
      </c>
      <c r="D19" s="192" t="s">
        <v>1051</v>
      </c>
      <c r="E19" s="188">
        <v>1</v>
      </c>
      <c r="F19" s="188">
        <v>9531.7999999999993</v>
      </c>
      <c r="G19" s="188">
        <v>1</v>
      </c>
      <c r="H19" s="188">
        <v>9531.7999999999993</v>
      </c>
      <c r="I19" s="188"/>
      <c r="J19" s="188"/>
      <c r="K19" s="188" t="s">
        <v>1052</v>
      </c>
      <c r="L19" s="188" t="s">
        <v>1052</v>
      </c>
      <c r="M19" s="449" t="s">
        <v>322</v>
      </c>
      <c r="N19" s="448"/>
      <c r="O19" s="448"/>
    </row>
    <row r="20" spans="1:15" ht="65.25" customHeight="1">
      <c r="A20" s="187">
        <v>2</v>
      </c>
      <c r="B20" s="188" t="s">
        <v>1053</v>
      </c>
      <c r="C20" s="191" t="s">
        <v>1054</v>
      </c>
      <c r="D20" s="192" t="s">
        <v>1051</v>
      </c>
      <c r="E20" s="188">
        <v>1</v>
      </c>
      <c r="F20" s="188">
        <v>148.4</v>
      </c>
      <c r="G20" s="188">
        <v>1</v>
      </c>
      <c r="H20" s="188">
        <v>146.6</v>
      </c>
      <c r="I20" s="188"/>
      <c r="J20" s="188"/>
      <c r="K20" s="188"/>
      <c r="L20" s="188"/>
      <c r="M20" s="449" t="s">
        <v>1055</v>
      </c>
      <c r="N20" s="448"/>
      <c r="O20" s="448"/>
    </row>
    <row r="21" spans="1:15">
      <c r="A21" s="450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3"/>
    </row>
    <row r="22" spans="1:15" ht="18" customHeight="1">
      <c r="A22" s="451" t="s">
        <v>1011</v>
      </c>
      <c r="B22" s="452"/>
      <c r="C22" s="452"/>
      <c r="D22" s="452"/>
      <c r="E22" s="452"/>
      <c r="F22" s="452"/>
      <c r="G22" s="147"/>
      <c r="H22" s="147"/>
      <c r="I22" s="147"/>
      <c r="J22" s="147"/>
      <c r="K22" s="147"/>
      <c r="L22" s="147"/>
      <c r="M22" s="444" t="s">
        <v>997</v>
      </c>
    </row>
    <row r="23" spans="1:15" ht="20.25" customHeight="1">
      <c r="A23" s="453" t="s">
        <v>978</v>
      </c>
      <c r="B23" s="833" t="s">
        <v>998</v>
      </c>
      <c r="C23" s="833"/>
      <c r="D23" s="833" t="s">
        <v>1012</v>
      </c>
      <c r="E23" s="833"/>
      <c r="F23" s="833"/>
      <c r="G23" s="833" t="s">
        <v>1000</v>
      </c>
      <c r="H23" s="833"/>
      <c r="I23" s="833" t="s">
        <v>1013</v>
      </c>
      <c r="J23" s="833"/>
      <c r="K23" s="833"/>
      <c r="L23" s="828" t="s">
        <v>1005</v>
      </c>
      <c r="M23" s="828"/>
      <c r="N23" s="828"/>
      <c r="O23" s="828"/>
    </row>
    <row r="24" spans="1:15" ht="12.75" customHeight="1">
      <c r="A24" s="438">
        <v>1</v>
      </c>
      <c r="B24" s="833">
        <v>2</v>
      </c>
      <c r="C24" s="833"/>
      <c r="D24" s="833">
        <v>3</v>
      </c>
      <c r="E24" s="833"/>
      <c r="F24" s="833"/>
      <c r="G24" s="833">
        <v>4</v>
      </c>
      <c r="H24" s="833"/>
      <c r="I24" s="833">
        <v>5</v>
      </c>
      <c r="J24" s="833"/>
      <c r="K24" s="833"/>
      <c r="L24" s="833">
        <v>6</v>
      </c>
      <c r="M24" s="833"/>
      <c r="N24" s="833"/>
      <c r="O24" s="833"/>
    </row>
    <row r="25" spans="1:15">
      <c r="A25" s="148"/>
      <c r="B25" s="454"/>
      <c r="C25" s="455"/>
      <c r="D25" s="455"/>
      <c r="E25" s="455"/>
      <c r="F25" s="455"/>
      <c r="G25" s="147"/>
      <c r="H25" s="147"/>
      <c r="I25" s="147"/>
      <c r="J25" s="147"/>
      <c r="K25" s="147"/>
      <c r="L25" s="147"/>
      <c r="M25" s="143"/>
    </row>
    <row r="26" spans="1:15">
      <c r="A26" s="143"/>
      <c r="B26" s="149"/>
      <c r="C26" s="149"/>
      <c r="D26" s="150"/>
      <c r="E26" s="151"/>
      <c r="F26" s="151"/>
      <c r="G26" s="150"/>
      <c r="H26" s="150"/>
      <c r="I26" s="150"/>
      <c r="J26" s="150"/>
      <c r="K26" s="150"/>
      <c r="L26" s="150"/>
      <c r="M26" s="143"/>
    </row>
    <row r="27" spans="1:15" ht="15">
      <c r="A27" s="143"/>
      <c r="B27" s="194" t="s">
        <v>1057</v>
      </c>
      <c r="C27" s="194"/>
      <c r="D27" s="195"/>
      <c r="E27" s="194"/>
      <c r="F27" s="194"/>
      <c r="G27" s="196" t="s">
        <v>317</v>
      </c>
      <c r="H27" s="151"/>
      <c r="I27" s="151"/>
      <c r="J27" s="151"/>
      <c r="K27" s="150"/>
      <c r="L27" s="150"/>
      <c r="M27" s="143"/>
    </row>
    <row r="28" spans="1:15" ht="9" customHeight="1">
      <c r="B28" s="195"/>
      <c r="C28" s="195"/>
      <c r="D28" s="195"/>
      <c r="E28" s="195"/>
      <c r="F28" s="195"/>
      <c r="G28" s="195"/>
    </row>
    <row r="29" spans="1:15" ht="14.25">
      <c r="B29" s="195"/>
      <c r="C29" s="195"/>
      <c r="D29" s="195"/>
      <c r="E29" s="195"/>
      <c r="F29" s="195"/>
      <c r="G29" s="195"/>
    </row>
    <row r="30" spans="1:15" ht="15">
      <c r="B30" s="194" t="s">
        <v>1056</v>
      </c>
      <c r="C30" s="195"/>
      <c r="D30" s="195"/>
      <c r="E30" s="195"/>
      <c r="F30" s="195"/>
      <c r="G30" s="196" t="s">
        <v>318</v>
      </c>
    </row>
  </sheetData>
  <mergeCells count="39">
    <mergeCell ref="B15:B17"/>
    <mergeCell ref="C15:C17"/>
    <mergeCell ref="G15:H16"/>
    <mergeCell ref="I15:J16"/>
    <mergeCell ref="B1:C1"/>
    <mergeCell ref="N15:O16"/>
    <mergeCell ref="L23:O23"/>
    <mergeCell ref="L24:O24"/>
    <mergeCell ref="N8:O9"/>
    <mergeCell ref="B13:O13"/>
    <mergeCell ref="A14:D14"/>
    <mergeCell ref="A15:A17"/>
    <mergeCell ref="B23:C23"/>
    <mergeCell ref="D23:F23"/>
    <mergeCell ref="G23:H23"/>
    <mergeCell ref="I23:K23"/>
    <mergeCell ref="B24:C24"/>
    <mergeCell ref="D24:F24"/>
    <mergeCell ref="G24:H24"/>
    <mergeCell ref="M15:M16"/>
    <mergeCell ref="I8:J9"/>
    <mergeCell ref="K8:L9"/>
    <mergeCell ref="M8:M9"/>
    <mergeCell ref="I24:K24"/>
    <mergeCell ref="L1:O1"/>
    <mergeCell ref="A2:O2"/>
    <mergeCell ref="B3:O3"/>
    <mergeCell ref="B4:C4"/>
    <mergeCell ref="B5:C5"/>
    <mergeCell ref="A7:D7"/>
    <mergeCell ref="B8:B10"/>
    <mergeCell ref="C8:C10"/>
    <mergeCell ref="D8:D10"/>
    <mergeCell ref="A8:A10"/>
    <mergeCell ref="K15:L16"/>
    <mergeCell ref="G8:H9"/>
    <mergeCell ref="E8:F9"/>
    <mergeCell ref="D15:D17"/>
    <mergeCell ref="E15:F16"/>
  </mergeCells>
  <phoneticPr fontId="3" type="noConversion"/>
  <pageMargins left="0.59055118110236227" right="0" top="0" bottom="0" header="0.51181102362204722" footer="0.51181102362204722"/>
  <pageSetup paperSize="9" scale="75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J24"/>
  <sheetViews>
    <sheetView workbookViewId="0">
      <selection activeCell="C27" sqref="C27"/>
    </sheetView>
  </sheetViews>
  <sheetFormatPr defaultRowHeight="12.75"/>
  <cols>
    <col min="1" max="1" width="39.28515625" customWidth="1"/>
    <col min="2" max="2" width="15.42578125" customWidth="1"/>
    <col min="3" max="3" width="20" customWidth="1"/>
    <col min="4" max="4" width="15.7109375" customWidth="1"/>
    <col min="5" max="5" width="18.140625" customWidth="1"/>
    <col min="6" max="6" width="15.42578125" customWidth="1"/>
  </cols>
  <sheetData>
    <row r="1" spans="1:10" ht="32.25" customHeight="1">
      <c r="A1" s="143"/>
      <c r="B1" s="143"/>
      <c r="C1" s="172"/>
      <c r="D1" s="172"/>
      <c r="E1" s="845" t="s">
        <v>1024</v>
      </c>
      <c r="F1" s="845"/>
      <c r="G1" s="152"/>
      <c r="H1" s="143"/>
      <c r="I1" s="143"/>
      <c r="J1" s="143"/>
    </row>
    <row r="2" spans="1:10" ht="44.25" customHeight="1">
      <c r="A2" s="846" t="s">
        <v>1023</v>
      </c>
      <c r="B2" s="846"/>
      <c r="C2" s="846"/>
      <c r="D2" s="846"/>
      <c r="E2" s="846"/>
      <c r="F2" s="846"/>
      <c r="G2" s="143"/>
      <c r="H2" s="143"/>
      <c r="I2" s="143"/>
      <c r="J2" s="143"/>
    </row>
    <row r="3" spans="1:10" ht="12.75" customHeight="1">
      <c r="A3" s="848" t="s">
        <v>223</v>
      </c>
      <c r="B3" s="848"/>
      <c r="C3" s="848"/>
      <c r="D3" s="848"/>
      <c r="E3" s="848"/>
      <c r="F3" s="848"/>
      <c r="G3" s="143"/>
      <c r="H3" s="143"/>
      <c r="I3" s="143"/>
      <c r="J3" s="143"/>
    </row>
    <row r="4" spans="1:10" ht="13.5" thickBot="1">
      <c r="A4" s="847" t="s">
        <v>1045</v>
      </c>
      <c r="B4" s="847"/>
      <c r="C4" s="847"/>
      <c r="D4" s="847"/>
      <c r="E4" s="847"/>
      <c r="F4" s="847"/>
      <c r="G4" s="143"/>
      <c r="H4" s="143"/>
      <c r="I4" s="143"/>
      <c r="J4" s="143"/>
    </row>
    <row r="5" spans="1:10" ht="51.75" thickBot="1">
      <c r="A5" s="171" t="s">
        <v>1022</v>
      </c>
      <c r="B5" s="170" t="s">
        <v>1021</v>
      </c>
      <c r="C5" s="170" t="s">
        <v>224</v>
      </c>
      <c r="D5" s="170" t="s">
        <v>225</v>
      </c>
      <c r="E5" s="170" t="s">
        <v>226</v>
      </c>
      <c r="F5" s="169" t="s">
        <v>227</v>
      </c>
      <c r="G5" s="143"/>
      <c r="H5" s="143"/>
      <c r="I5" s="143"/>
      <c r="J5" s="143"/>
    </row>
    <row r="6" spans="1:10" ht="24.95" customHeight="1">
      <c r="A6" s="168" t="s">
        <v>1020</v>
      </c>
      <c r="B6" s="167"/>
      <c r="C6" s="166"/>
      <c r="D6" s="165"/>
      <c r="E6" s="165"/>
      <c r="F6" s="164"/>
      <c r="G6" s="143"/>
      <c r="H6" s="143"/>
      <c r="I6" s="143"/>
      <c r="J6" s="143"/>
    </row>
    <row r="7" spans="1:10" ht="24.95" customHeight="1" thickBot="1">
      <c r="A7" s="163" t="s">
        <v>1014</v>
      </c>
      <c r="B7" s="162"/>
      <c r="C7" s="161"/>
      <c r="D7" s="160"/>
      <c r="E7" s="160"/>
      <c r="F7" s="159"/>
      <c r="G7" s="143"/>
      <c r="H7" s="143"/>
      <c r="I7" s="143"/>
      <c r="J7" s="143"/>
    </row>
    <row r="8" spans="1:10" ht="24.95" customHeight="1">
      <c r="A8" s="168" t="s">
        <v>1019</v>
      </c>
      <c r="B8" s="167"/>
      <c r="C8" s="185">
        <v>140500</v>
      </c>
      <c r="D8" s="185">
        <v>94166</v>
      </c>
      <c r="E8" s="185">
        <v>46334</v>
      </c>
      <c r="F8" s="164"/>
      <c r="G8" s="143"/>
      <c r="H8" s="143"/>
      <c r="I8" s="143"/>
      <c r="J8" s="143"/>
    </row>
    <row r="9" spans="1:10" ht="24.95" customHeight="1" thickBot="1">
      <c r="A9" s="163" t="s">
        <v>1014</v>
      </c>
      <c r="B9" s="162"/>
      <c r="C9" s="186"/>
      <c r="D9" s="186"/>
      <c r="E9" s="186"/>
      <c r="F9" s="159"/>
      <c r="G9" s="143"/>
      <c r="H9" s="143"/>
      <c r="I9" s="143"/>
      <c r="J9" s="143"/>
    </row>
    <row r="10" spans="1:10" ht="24.95" customHeight="1">
      <c r="A10" s="168" t="s">
        <v>1018</v>
      </c>
      <c r="B10" s="167"/>
      <c r="C10" s="185">
        <v>24989</v>
      </c>
      <c r="D10" s="185">
        <v>15385</v>
      </c>
      <c r="E10" s="185">
        <v>9604</v>
      </c>
      <c r="F10" s="164"/>
      <c r="G10" s="143"/>
      <c r="H10" s="143"/>
      <c r="I10" s="143"/>
      <c r="J10" s="143"/>
    </row>
    <row r="11" spans="1:10" ht="24.95" customHeight="1" thickBot="1">
      <c r="A11" s="163" t="s">
        <v>1014</v>
      </c>
      <c r="B11" s="162"/>
      <c r="C11" s="186"/>
      <c r="D11" s="186"/>
      <c r="E11" s="186"/>
      <c r="F11" s="159"/>
      <c r="G11" s="143"/>
      <c r="H11" s="143"/>
      <c r="I11" s="143"/>
      <c r="J11" s="143"/>
    </row>
    <row r="12" spans="1:10" ht="24.95" customHeight="1">
      <c r="A12" s="168" t="s">
        <v>1017</v>
      </c>
      <c r="B12" s="167"/>
      <c r="C12" s="185">
        <v>3598</v>
      </c>
      <c r="D12" s="185">
        <v>2591</v>
      </c>
      <c r="E12" s="185">
        <v>1007</v>
      </c>
      <c r="F12" s="164"/>
      <c r="G12" s="143"/>
      <c r="H12" s="143"/>
      <c r="I12" s="143"/>
      <c r="J12" s="143"/>
    </row>
    <row r="13" spans="1:10" ht="24.95" customHeight="1" thickBot="1">
      <c r="A13" s="163" t="s">
        <v>1014</v>
      </c>
      <c r="B13" s="162"/>
      <c r="C13" s="186"/>
      <c r="D13" s="186"/>
      <c r="E13" s="186"/>
      <c r="F13" s="159"/>
      <c r="G13" s="143"/>
      <c r="H13" s="143"/>
      <c r="I13" s="143"/>
      <c r="J13" s="143"/>
    </row>
    <row r="14" spans="1:10" ht="24.95" customHeight="1">
      <c r="A14" s="168" t="s">
        <v>1016</v>
      </c>
      <c r="B14" s="167"/>
      <c r="C14" s="185">
        <v>3772</v>
      </c>
      <c r="D14" s="185">
        <v>2676</v>
      </c>
      <c r="E14" s="185">
        <v>1096</v>
      </c>
      <c r="F14" s="164"/>
      <c r="G14" s="143"/>
      <c r="H14" s="143"/>
      <c r="I14" s="143"/>
      <c r="J14" s="143"/>
    </row>
    <row r="15" spans="1:10" ht="24.95" customHeight="1" thickBot="1">
      <c r="A15" s="163" t="s">
        <v>1014</v>
      </c>
      <c r="B15" s="162"/>
      <c r="C15" s="186"/>
      <c r="D15" s="186"/>
      <c r="E15" s="186"/>
      <c r="F15" s="159"/>
      <c r="G15" s="143"/>
      <c r="H15" s="143"/>
      <c r="I15" s="143"/>
      <c r="J15" s="143"/>
    </row>
    <row r="16" spans="1:10" ht="24.95" customHeight="1">
      <c r="A16" s="168" t="s">
        <v>1015</v>
      </c>
      <c r="B16" s="167"/>
      <c r="C16" s="185">
        <v>91</v>
      </c>
      <c r="D16" s="185">
        <v>64</v>
      </c>
      <c r="E16" s="185">
        <v>27</v>
      </c>
      <c r="F16" s="164"/>
      <c r="G16" s="143"/>
      <c r="H16" s="143"/>
      <c r="I16" s="143"/>
      <c r="J16" s="143"/>
    </row>
    <row r="17" spans="1:10" ht="24.95" customHeight="1" thickBot="1">
      <c r="A17" s="163" t="s">
        <v>1014</v>
      </c>
      <c r="B17" s="162"/>
      <c r="C17" s="186"/>
      <c r="D17" s="186"/>
      <c r="E17" s="186"/>
      <c r="F17" s="159"/>
      <c r="G17" s="143"/>
      <c r="H17" s="143"/>
      <c r="I17" s="143"/>
      <c r="J17" s="143"/>
    </row>
    <row r="18" spans="1:10" ht="24.95" customHeight="1" thickBot="1">
      <c r="A18" s="844" t="s">
        <v>991</v>
      </c>
      <c r="B18" s="844"/>
      <c r="C18" s="197">
        <f>C6+C8+C10+C12+C14+C16</f>
        <v>172950</v>
      </c>
      <c r="D18" s="197">
        <f>D6+D8+D10+D12+D14+D16</f>
        <v>114882</v>
      </c>
      <c r="E18" s="197">
        <f>E6+E8+E10+E12+E14+E16</f>
        <v>58068</v>
      </c>
      <c r="F18" s="198">
        <f>F6+F8+F10+F12+F14+F16</f>
        <v>0</v>
      </c>
      <c r="G18" s="143"/>
      <c r="H18" s="143"/>
      <c r="I18" s="143"/>
      <c r="J18" s="143"/>
    </row>
    <row r="19" spans="1:10">
      <c r="A19" s="158"/>
      <c r="B19" s="156"/>
      <c r="C19" s="157"/>
      <c r="D19" s="157"/>
      <c r="E19" s="156"/>
      <c r="F19" s="152"/>
      <c r="G19" s="143"/>
      <c r="H19" s="143"/>
      <c r="I19" s="143"/>
      <c r="J19" s="143"/>
    </row>
    <row r="20" spans="1:10" ht="29.25" customHeight="1">
      <c r="A20" s="149" t="s">
        <v>1057</v>
      </c>
      <c r="B20" s="149" t="s">
        <v>316</v>
      </c>
      <c r="C20" s="149"/>
      <c r="D20" s="150" t="s">
        <v>1059</v>
      </c>
      <c r="E20" s="150"/>
      <c r="F20" s="150" t="s">
        <v>1058</v>
      </c>
      <c r="G20" s="143"/>
      <c r="H20" s="143"/>
      <c r="I20" s="143"/>
      <c r="J20" s="143"/>
    </row>
    <row r="21" spans="1:10">
      <c r="A21" s="155"/>
      <c r="B21" s="154"/>
      <c r="C21" s="152"/>
      <c r="D21" s="152"/>
      <c r="E21" s="154"/>
      <c r="F21" s="152"/>
      <c r="G21" s="143"/>
      <c r="H21" s="143"/>
      <c r="I21" s="143"/>
      <c r="J21" s="143"/>
    </row>
    <row r="22" spans="1:10">
      <c r="A22" s="152"/>
      <c r="B22" s="152"/>
      <c r="C22" s="153"/>
      <c r="D22" s="152"/>
      <c r="E22" s="152"/>
      <c r="F22" s="152"/>
      <c r="G22" s="143"/>
      <c r="H22" s="143"/>
      <c r="I22" s="143"/>
      <c r="J22" s="143"/>
    </row>
    <row r="23" spans="1:10" ht="39" customHeight="1">
      <c r="A23" s="843" t="s">
        <v>1032</v>
      </c>
      <c r="B23" s="843"/>
      <c r="C23" s="843"/>
      <c r="D23" s="843"/>
      <c r="E23" s="843"/>
      <c r="F23" s="843"/>
      <c r="G23" s="175"/>
      <c r="H23" s="175"/>
      <c r="I23" s="175"/>
      <c r="J23" s="175"/>
    </row>
    <row r="24" spans="1:10">
      <c r="A24" s="143"/>
      <c r="B24" s="143"/>
      <c r="C24" s="143"/>
      <c r="D24" s="143"/>
      <c r="E24" s="143"/>
      <c r="F24" s="143"/>
      <c r="G24" s="143"/>
      <c r="H24" s="143"/>
      <c r="I24" s="143"/>
      <c r="J24" s="143"/>
    </row>
  </sheetData>
  <mergeCells count="6">
    <mergeCell ref="A23:F23"/>
    <mergeCell ref="A18:B18"/>
    <mergeCell ref="E1:F1"/>
    <mergeCell ref="A2:F2"/>
    <mergeCell ref="A4:F4"/>
    <mergeCell ref="A3:F3"/>
  </mergeCells>
  <phoneticPr fontId="3" type="noConversion"/>
  <pageMargins left="0.59055118110236227" right="0" top="0" bottom="0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O412"/>
  <sheetViews>
    <sheetView view="pageBreakPreview" topLeftCell="A181" zoomScale="80" zoomScaleNormal="65" zoomScaleSheetLayoutView="80" workbookViewId="0">
      <selection activeCell="H116" sqref="H116:J120"/>
    </sheetView>
  </sheetViews>
  <sheetFormatPr defaultRowHeight="18.75"/>
  <cols>
    <col min="1" max="1" width="35.42578125" style="2" customWidth="1"/>
    <col min="2" max="2" width="7.28515625" style="20" customWidth="1"/>
    <col min="3" max="3" width="13.85546875" style="20" customWidth="1"/>
    <col min="4" max="4" width="13.7109375" style="20" customWidth="1"/>
    <col min="5" max="5" width="14.140625" style="20" customWidth="1"/>
    <col min="6" max="6" width="14.140625" style="2" customWidth="1"/>
    <col min="7" max="7" width="13.5703125" style="2" customWidth="1"/>
    <col min="8" max="8" width="14" style="2" customWidth="1"/>
    <col min="9" max="9" width="13.85546875" style="2" customWidth="1"/>
    <col min="10" max="10" width="13.42578125" style="2" customWidth="1"/>
    <col min="11" max="11" width="9.42578125" style="2" customWidth="1"/>
    <col min="12" max="13" width="9.140625" style="2"/>
    <col min="14" max="14" width="15.42578125" style="2" bestFit="1" customWidth="1"/>
    <col min="15" max="15" width="16.140625" style="2" customWidth="1"/>
    <col min="16" max="16384" width="9.140625" style="2"/>
  </cols>
  <sheetData>
    <row r="1" spans="1:11" ht="32.25" customHeight="1">
      <c r="A1" s="577" t="s">
        <v>885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</row>
    <row r="2" spans="1:11" ht="12.75" customHeight="1">
      <c r="A2" s="37"/>
      <c r="B2" s="47"/>
      <c r="C2" s="37"/>
      <c r="D2" s="37"/>
      <c r="E2" s="47"/>
      <c r="F2" s="37"/>
      <c r="G2" s="37"/>
      <c r="H2" s="37"/>
      <c r="I2" s="37"/>
      <c r="J2" s="37"/>
    </row>
    <row r="3" spans="1:11" ht="36" customHeight="1">
      <c r="A3" s="557" t="s">
        <v>873</v>
      </c>
      <c r="B3" s="580" t="s">
        <v>677</v>
      </c>
      <c r="C3" s="558" t="s">
        <v>690</v>
      </c>
      <c r="D3" s="558" t="s">
        <v>697</v>
      </c>
      <c r="E3" s="581" t="s">
        <v>812</v>
      </c>
      <c r="F3" s="558" t="s">
        <v>680</v>
      </c>
      <c r="G3" s="558" t="s">
        <v>823</v>
      </c>
      <c r="H3" s="558"/>
      <c r="I3" s="558"/>
      <c r="J3" s="558"/>
      <c r="K3" s="578" t="s">
        <v>861</v>
      </c>
    </row>
    <row r="4" spans="1:11" ht="63" customHeight="1">
      <c r="A4" s="557"/>
      <c r="B4" s="580"/>
      <c r="C4" s="558"/>
      <c r="D4" s="558"/>
      <c r="E4" s="581"/>
      <c r="F4" s="558"/>
      <c r="G4" s="12" t="s">
        <v>824</v>
      </c>
      <c r="H4" s="12" t="s">
        <v>825</v>
      </c>
      <c r="I4" s="12" t="s">
        <v>826</v>
      </c>
      <c r="J4" s="12" t="s">
        <v>735</v>
      </c>
      <c r="K4" s="578"/>
    </row>
    <row r="5" spans="1:11" ht="16.5" customHeight="1">
      <c r="A5" s="101">
        <v>1</v>
      </c>
      <c r="B5" s="102">
        <v>2</v>
      </c>
      <c r="C5" s="102">
        <v>3</v>
      </c>
      <c r="D5" s="102">
        <v>4</v>
      </c>
      <c r="E5" s="102">
        <v>5</v>
      </c>
      <c r="F5" s="102">
        <v>6</v>
      </c>
      <c r="G5" s="102">
        <v>7</v>
      </c>
      <c r="H5" s="102">
        <v>8</v>
      </c>
      <c r="I5" s="102">
        <v>9</v>
      </c>
      <c r="J5" s="102">
        <v>10</v>
      </c>
      <c r="K5" s="102">
        <v>11</v>
      </c>
    </row>
    <row r="6" spans="1:11" s="5" customFormat="1" ht="20.100000000000001" customHeight="1">
      <c r="A6" s="579" t="s">
        <v>881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</row>
    <row r="7" spans="1:11" s="5" customFormat="1" ht="63" customHeight="1">
      <c r="A7" s="9" t="s">
        <v>770</v>
      </c>
      <c r="B7" s="336">
        <v>1000</v>
      </c>
      <c r="C7" s="231">
        <f>C8+C11</f>
        <v>100169.5</v>
      </c>
      <c r="D7" s="231">
        <f>D8+D11</f>
        <v>106796.7</v>
      </c>
      <c r="E7" s="231">
        <f>E8+E11</f>
        <v>110042.4072</v>
      </c>
      <c r="F7" s="231">
        <f>SUM(G7:J7)</f>
        <v>131753.79999999999</v>
      </c>
      <c r="G7" s="231">
        <f>G8+G11</f>
        <v>30497.9</v>
      </c>
      <c r="H7" s="231">
        <f>H8+H11</f>
        <v>33381.5</v>
      </c>
      <c r="I7" s="231">
        <f>I8+I11</f>
        <v>33937.199999999997</v>
      </c>
      <c r="J7" s="231">
        <f>J8+J11</f>
        <v>33937.199999999997</v>
      </c>
      <c r="K7" s="86"/>
    </row>
    <row r="8" spans="1:11" s="5" customFormat="1">
      <c r="A8" s="8" t="s">
        <v>1035</v>
      </c>
      <c r="B8" s="116" t="s">
        <v>1036</v>
      </c>
      <c r="C8" s="208">
        <f t="shared" ref="C8:J8" si="0">C9+C10</f>
        <v>42269.2</v>
      </c>
      <c r="D8" s="208">
        <f t="shared" si="0"/>
        <v>44789.599999999999</v>
      </c>
      <c r="E8" s="208">
        <f t="shared" si="0"/>
        <v>48497.978799999997</v>
      </c>
      <c r="F8" s="208">
        <f t="shared" si="0"/>
        <v>64618.100000000006</v>
      </c>
      <c r="G8" s="208">
        <f t="shared" si="0"/>
        <v>13854.5</v>
      </c>
      <c r="H8" s="208">
        <f t="shared" si="0"/>
        <v>16902.599999999999</v>
      </c>
      <c r="I8" s="208">
        <f t="shared" si="0"/>
        <v>16930.5</v>
      </c>
      <c r="J8" s="208">
        <f t="shared" si="0"/>
        <v>16930.5</v>
      </c>
      <c r="K8" s="86"/>
    </row>
    <row r="9" spans="1:11" s="5" customFormat="1">
      <c r="A9" s="8" t="s">
        <v>1037</v>
      </c>
      <c r="B9" s="116" t="s">
        <v>1038</v>
      </c>
      <c r="C9" s="208">
        <v>32651.8</v>
      </c>
      <c r="D9" s="208">
        <v>35199.199999999997</v>
      </c>
      <c r="E9" s="208">
        <f>8322*2+8322*2*1.311</f>
        <v>38464.284</v>
      </c>
      <c r="F9" s="208">
        <f>G9+H9+I9+J9</f>
        <v>51964.200000000004</v>
      </c>
      <c r="G9" s="208">
        <v>11066.9</v>
      </c>
      <c r="H9" s="208">
        <v>13604.5</v>
      </c>
      <c r="I9" s="208">
        <v>13646.4</v>
      </c>
      <c r="J9" s="208">
        <v>13646.4</v>
      </c>
      <c r="K9" s="86"/>
    </row>
    <row r="10" spans="1:11" s="5" customFormat="1">
      <c r="A10" s="8" t="s">
        <v>1039</v>
      </c>
      <c r="B10" s="116" t="s">
        <v>1040</v>
      </c>
      <c r="C10" s="208">
        <v>9617.4</v>
      </c>
      <c r="D10" s="208">
        <v>9590.4000000000015</v>
      </c>
      <c r="E10" s="208">
        <f>2164.3*2+2164.3*2*1.318</f>
        <v>10033.694800000001</v>
      </c>
      <c r="F10" s="208">
        <f>G10+H10+I10+J10</f>
        <v>12653.9</v>
      </c>
      <c r="G10" s="208">
        <v>2787.6</v>
      </c>
      <c r="H10" s="208">
        <v>3298.1</v>
      </c>
      <c r="I10" s="208">
        <v>3284.1</v>
      </c>
      <c r="J10" s="208">
        <v>3284.1</v>
      </c>
      <c r="K10" s="86"/>
    </row>
    <row r="11" spans="1:11" s="5" customFormat="1">
      <c r="A11" s="8" t="s">
        <v>1041</v>
      </c>
      <c r="B11" s="116" t="s">
        <v>1042</v>
      </c>
      <c r="C11" s="208">
        <f t="shared" ref="C11:J11" si="1">C12+C13</f>
        <v>57900.3</v>
      </c>
      <c r="D11" s="208">
        <f t="shared" si="1"/>
        <v>62007.1</v>
      </c>
      <c r="E11" s="208">
        <f t="shared" si="1"/>
        <v>61544.428400000004</v>
      </c>
      <c r="F11" s="208">
        <f t="shared" si="1"/>
        <v>67135.7</v>
      </c>
      <c r="G11" s="208">
        <f t="shared" si="1"/>
        <v>16643.400000000001</v>
      </c>
      <c r="H11" s="208">
        <f t="shared" si="1"/>
        <v>16478.899999999998</v>
      </c>
      <c r="I11" s="208">
        <f t="shared" si="1"/>
        <v>17006.7</v>
      </c>
      <c r="J11" s="208">
        <f t="shared" si="1"/>
        <v>17006.7</v>
      </c>
      <c r="K11" s="86"/>
    </row>
    <row r="12" spans="1:11" s="5" customFormat="1">
      <c r="A12" s="8" t="s">
        <v>1037</v>
      </c>
      <c r="B12" s="116" t="s">
        <v>1043</v>
      </c>
      <c r="C12" s="208">
        <v>42985.9</v>
      </c>
      <c r="D12" s="208">
        <v>46785.1</v>
      </c>
      <c r="E12" s="208">
        <f>11191*2+11191*2*1.066</f>
        <v>46241.212</v>
      </c>
      <c r="F12" s="208">
        <f>G12+H12+I12+J12</f>
        <v>51024.800000000003</v>
      </c>
      <c r="G12" s="208">
        <v>12876.2</v>
      </c>
      <c r="H12" s="208">
        <v>12383.8</v>
      </c>
      <c r="I12" s="208">
        <v>12882.4</v>
      </c>
      <c r="J12" s="208">
        <v>12882.4</v>
      </c>
      <c r="K12" s="86"/>
    </row>
    <row r="13" spans="1:11" s="5" customFormat="1">
      <c r="A13" s="8" t="s">
        <v>1039</v>
      </c>
      <c r="B13" s="116" t="s">
        <v>1044</v>
      </c>
      <c r="C13" s="208">
        <v>14914.4</v>
      </c>
      <c r="D13" s="208">
        <v>15222</v>
      </c>
      <c r="E13" s="208">
        <f>3689.3*2+3689.3*2*1.074</f>
        <v>15303.216400000001</v>
      </c>
      <c r="F13" s="208">
        <f>G13+H13+I13+J13</f>
        <v>16110.899999999998</v>
      </c>
      <c r="G13" s="208">
        <v>3767.2</v>
      </c>
      <c r="H13" s="208">
        <v>4095.1</v>
      </c>
      <c r="I13" s="208">
        <v>4124.3</v>
      </c>
      <c r="J13" s="208">
        <v>4124.3</v>
      </c>
      <c r="K13" s="86"/>
    </row>
    <row r="14" spans="1:11" ht="53.25" customHeight="1">
      <c r="A14" s="9" t="s">
        <v>661</v>
      </c>
      <c r="B14" s="336">
        <v>1010</v>
      </c>
      <c r="C14" s="231">
        <f t="shared" ref="C14:J14" si="2">SUM(C15:C22)</f>
        <v>125572.00000000001</v>
      </c>
      <c r="D14" s="231">
        <f t="shared" si="2"/>
        <v>147621.79999999999</v>
      </c>
      <c r="E14" s="231">
        <f t="shared" si="2"/>
        <v>141855</v>
      </c>
      <c r="F14" s="231">
        <f>SUM(G14:J14)</f>
        <v>158681.4</v>
      </c>
      <c r="G14" s="231">
        <f t="shared" si="2"/>
        <v>36805.800000000003</v>
      </c>
      <c r="H14" s="231">
        <f t="shared" si="2"/>
        <v>37310.800000000003</v>
      </c>
      <c r="I14" s="231">
        <f t="shared" si="2"/>
        <v>41915.4</v>
      </c>
      <c r="J14" s="231">
        <f t="shared" si="2"/>
        <v>42649.4</v>
      </c>
      <c r="K14" s="86"/>
    </row>
    <row r="15" spans="1:11" s="1" customFormat="1" ht="34.5" customHeight="1">
      <c r="A15" s="103" t="s">
        <v>899</v>
      </c>
      <c r="B15" s="115">
        <v>1011</v>
      </c>
      <c r="C15" s="238">
        <f>2827.9+3626.4-C16-C32-C34-C20</f>
        <v>566.89999999999964</v>
      </c>
      <c r="D15" s="238">
        <v>800</v>
      </c>
      <c r="E15" s="238">
        <f>1290.4-28+7.6+E16-E32-E34-E20</f>
        <v>800</v>
      </c>
      <c r="F15" s="183">
        <f>SUM(G15:J15)</f>
        <v>1150</v>
      </c>
      <c r="G15" s="238">
        <v>220</v>
      </c>
      <c r="H15" s="238">
        <v>300</v>
      </c>
      <c r="I15" s="238">
        <v>315</v>
      </c>
      <c r="J15" s="238">
        <v>315</v>
      </c>
      <c r="K15" s="86"/>
    </row>
    <row r="16" spans="1:11" s="1" customFormat="1" ht="21" customHeight="1">
      <c r="A16" s="103" t="s">
        <v>725</v>
      </c>
      <c r="B16" s="115">
        <v>1012</v>
      </c>
      <c r="C16" s="238">
        <f>2021.5+10.7+19.3+776.3</f>
        <v>2827.8</v>
      </c>
      <c r="D16" s="238">
        <v>3000</v>
      </c>
      <c r="E16" s="238">
        <v>2800</v>
      </c>
      <c r="F16" s="183">
        <f t="shared" ref="F16:F40" si="3">SUM(G16:J16)</f>
        <v>3150</v>
      </c>
      <c r="G16" s="238">
        <v>700</v>
      </c>
      <c r="H16" s="238">
        <v>800</v>
      </c>
      <c r="I16" s="238">
        <v>810</v>
      </c>
      <c r="J16" s="238">
        <v>840</v>
      </c>
      <c r="K16" s="86"/>
    </row>
    <row r="17" spans="1:15" s="1" customFormat="1" ht="22.5" customHeight="1">
      <c r="A17" s="103" t="s">
        <v>724</v>
      </c>
      <c r="B17" s="115">
        <v>1013</v>
      </c>
      <c r="C17" s="238">
        <f>47196.4+5318.9</f>
        <v>52515.3</v>
      </c>
      <c r="D17" s="238">
        <v>63600</v>
      </c>
      <c r="E17" s="238">
        <v>60500</v>
      </c>
      <c r="F17" s="183">
        <f t="shared" si="3"/>
        <v>66800</v>
      </c>
      <c r="G17" s="238">
        <v>15500</v>
      </c>
      <c r="H17" s="238">
        <v>17000</v>
      </c>
      <c r="I17" s="238">
        <v>17000</v>
      </c>
      <c r="J17" s="238">
        <v>17300</v>
      </c>
      <c r="K17" s="86"/>
      <c r="N17" s="1" t="s">
        <v>1296</v>
      </c>
    </row>
    <row r="18" spans="1:15" s="1" customFormat="1" ht="24" customHeight="1">
      <c r="A18" s="103" t="s">
        <v>700</v>
      </c>
      <c r="B18" s="115">
        <v>1014</v>
      </c>
      <c r="C18" s="238">
        <f>22183.4+10057.2</f>
        <v>32240.600000000002</v>
      </c>
      <c r="D18" s="238">
        <v>39199.9</v>
      </c>
      <c r="E18" s="238">
        <v>38000</v>
      </c>
      <c r="F18" s="183">
        <f t="shared" si="3"/>
        <v>45039.6</v>
      </c>
      <c r="G18" s="238">
        <f ca="1">'дод 1 до поясн Розрахунок ФОП'!U416+'дод 1 до поясн Розрахунок ФОП'!W416</f>
        <v>9852.2999999999993</v>
      </c>
      <c r="H18" s="238">
        <f ca="1">'дод 1 до поясн Розрахунок ФОП'!U417+'дод 1 до поясн Розрахунок ФОП'!W417</f>
        <v>9852.2999999999993</v>
      </c>
      <c r="I18" s="238">
        <f ca="1">'дод 1 до поясн Розрахунок ФОП'!U418+'дод 1 до поясн Розрахунок ФОП'!W418</f>
        <v>12667.5</v>
      </c>
      <c r="J18" s="238">
        <f ca="1">'дод 1 до поясн Розрахунок ФОП'!U419+'дод 1 до поясн Розрахунок ФОП'!W419</f>
        <v>12667.5</v>
      </c>
      <c r="K18" s="86"/>
      <c r="L18" s="1">
        <f>5297.5+3421.5-2.15</f>
        <v>8716.85</v>
      </c>
      <c r="N18" s="261" t="e">
        <f>E18+E62+#REF!+E116</f>
        <v>#REF!</v>
      </c>
    </row>
    <row r="19" spans="1:15" s="1" customFormat="1" ht="24" customHeight="1">
      <c r="A19" s="103" t="s">
        <v>701</v>
      </c>
      <c r="B19" s="115">
        <v>1015</v>
      </c>
      <c r="C19" s="238">
        <f>8057.5+3499.5</f>
        <v>11557</v>
      </c>
      <c r="D19" s="238">
        <v>8624.1</v>
      </c>
      <c r="E19" s="238">
        <f>E18*0.22</f>
        <v>8360</v>
      </c>
      <c r="F19" s="183">
        <f t="shared" si="3"/>
        <v>9908.7999999999993</v>
      </c>
      <c r="G19" s="238">
        <f>ROUND(G18*0.22,1)</f>
        <v>2167.5</v>
      </c>
      <c r="H19" s="238">
        <f>ROUND(H18*0.22,1)</f>
        <v>2167.5</v>
      </c>
      <c r="I19" s="238">
        <f>ROUND(I18*0.22,1)</f>
        <v>2786.9</v>
      </c>
      <c r="J19" s="238">
        <f>ROUND(J18*0.22,1)</f>
        <v>2786.9</v>
      </c>
      <c r="K19" s="86"/>
    </row>
    <row r="20" spans="1:15" s="1" customFormat="1" ht="78.75" customHeight="1">
      <c r="A20" s="103" t="s">
        <v>867</v>
      </c>
      <c r="B20" s="115">
        <v>1016</v>
      </c>
      <c r="C20" s="238">
        <f>852+395+237.3+635+24.8</f>
        <v>2144.1000000000004</v>
      </c>
      <c r="D20" s="238">
        <v>2220</v>
      </c>
      <c r="E20" s="238">
        <v>2150</v>
      </c>
      <c r="F20" s="183">
        <f t="shared" si="3"/>
        <v>2870</v>
      </c>
      <c r="G20" s="238">
        <v>520</v>
      </c>
      <c r="H20" s="238">
        <v>800</v>
      </c>
      <c r="I20" s="238">
        <v>900</v>
      </c>
      <c r="J20" s="238">
        <v>650</v>
      </c>
      <c r="K20" s="86"/>
    </row>
    <row r="21" spans="1:15" s="1" customFormat="1" ht="33.75" customHeight="1">
      <c r="A21" s="103" t="s">
        <v>723</v>
      </c>
      <c r="B21" s="115">
        <v>1017</v>
      </c>
      <c r="C21" s="238">
        <f>6396+740.2-0.2</f>
        <v>7136</v>
      </c>
      <c r="D21" s="238">
        <v>10453.799999999999</v>
      </c>
      <c r="E21" s="238">
        <v>9500</v>
      </c>
      <c r="F21" s="183">
        <f t="shared" si="3"/>
        <v>8750</v>
      </c>
      <c r="G21" s="238">
        <v>2350</v>
      </c>
      <c r="H21" s="238">
        <v>2100</v>
      </c>
      <c r="I21" s="238">
        <v>2100</v>
      </c>
      <c r="J21" s="238">
        <v>2200</v>
      </c>
      <c r="K21" s="86"/>
      <c r="N21" s="433">
        <f>D21+D64+D96+D118</f>
        <v>10751.8</v>
      </c>
      <c r="O21" s="433">
        <f>E21+E64+E96+E118</f>
        <v>9924.2000000000007</v>
      </c>
    </row>
    <row r="22" spans="1:15" s="1" customFormat="1" ht="21.75" customHeight="1">
      <c r="A22" s="103" t="s">
        <v>782</v>
      </c>
      <c r="B22" s="115">
        <v>1018</v>
      </c>
      <c r="C22" s="238">
        <f>SUM(C23:C40)</f>
        <v>16584.300000000003</v>
      </c>
      <c r="D22" s="238">
        <f>SUM(D23:D39)</f>
        <v>19724</v>
      </c>
      <c r="E22" s="238">
        <f>SUM(E23:E40)</f>
        <v>19745</v>
      </c>
      <c r="F22" s="183">
        <f t="shared" si="3"/>
        <v>21013</v>
      </c>
      <c r="G22" s="238">
        <f>SUM(G23:G39)</f>
        <v>5496</v>
      </c>
      <c r="H22" s="238">
        <f>SUM(H23:H39)</f>
        <v>4291</v>
      </c>
      <c r="I22" s="238">
        <f>SUM(I23:I39)</f>
        <v>5336</v>
      </c>
      <c r="J22" s="238">
        <f>SUM(J23:J39)</f>
        <v>5890</v>
      </c>
      <c r="K22" s="86"/>
    </row>
    <row r="23" spans="1:15" s="1" customFormat="1">
      <c r="A23" s="103" t="s">
        <v>1179</v>
      </c>
      <c r="B23" s="115" t="s">
        <v>1061</v>
      </c>
      <c r="C23" s="238">
        <v>6219.1</v>
      </c>
      <c r="D23" s="238">
        <v>6800</v>
      </c>
      <c r="E23" s="238">
        <v>7200</v>
      </c>
      <c r="F23" s="183">
        <f t="shared" si="3"/>
        <v>7900</v>
      </c>
      <c r="G23" s="238">
        <v>1400</v>
      </c>
      <c r="H23" s="238">
        <v>1600</v>
      </c>
      <c r="I23" s="238">
        <v>2600</v>
      </c>
      <c r="J23" s="238">
        <v>2300</v>
      </c>
      <c r="K23" s="86"/>
    </row>
    <row r="24" spans="1:15" s="1" customFormat="1">
      <c r="A24" s="103" t="s">
        <v>1180</v>
      </c>
      <c r="B24" s="115" t="s">
        <v>1062</v>
      </c>
      <c r="C24" s="238">
        <f>941.1+387.1+46.7+114.2</f>
        <v>1489.1000000000001</v>
      </c>
      <c r="D24" s="238">
        <v>2500</v>
      </c>
      <c r="E24" s="238">
        <v>2400</v>
      </c>
      <c r="F24" s="183">
        <f t="shared" si="3"/>
        <v>2250</v>
      </c>
      <c r="G24" s="238">
        <f>650+400+200+200</f>
        <v>1450</v>
      </c>
      <c r="H24" s="238">
        <v>0</v>
      </c>
      <c r="I24" s="238">
        <v>0</v>
      </c>
      <c r="J24" s="238">
        <v>800</v>
      </c>
      <c r="K24" s="86"/>
    </row>
    <row r="25" spans="1:15" s="1" customFormat="1">
      <c r="A25" s="103" t="s">
        <v>1181</v>
      </c>
      <c r="B25" s="115" t="s">
        <v>1063</v>
      </c>
      <c r="C25" s="238">
        <v>3402.4</v>
      </c>
      <c r="D25" s="238">
        <v>4410</v>
      </c>
      <c r="E25" s="238">
        <v>3650</v>
      </c>
      <c r="F25" s="183">
        <f t="shared" si="3"/>
        <v>4140</v>
      </c>
      <c r="G25" s="238">
        <f>330*3</f>
        <v>990</v>
      </c>
      <c r="H25" s="238">
        <f>340*3</f>
        <v>1020</v>
      </c>
      <c r="I25" s="238">
        <f>350*3</f>
        <v>1050</v>
      </c>
      <c r="J25" s="238">
        <f>360*3</f>
        <v>1080</v>
      </c>
      <c r="K25" s="86"/>
    </row>
    <row r="26" spans="1:15" s="1" customFormat="1">
      <c r="A26" s="103" t="s">
        <v>1182</v>
      </c>
      <c r="B26" s="115" t="s">
        <v>1064</v>
      </c>
      <c r="C26" s="238">
        <f>2357.5+650.9</f>
        <v>3008.4</v>
      </c>
      <c r="D26" s="238">
        <v>3680</v>
      </c>
      <c r="E26" s="238">
        <f ca="1">'ІІ. Розр. з бюджетом'!E53</f>
        <v>3760</v>
      </c>
      <c r="F26" s="183">
        <f t="shared" si="3"/>
        <v>4020</v>
      </c>
      <c r="G26" s="238">
        <f ca="1">'ІІ. Розр. з бюджетом'!G53</f>
        <v>1005</v>
      </c>
      <c r="H26" s="238">
        <f ca="1">'ІІ. Розр. з бюджетом'!H53</f>
        <v>1005</v>
      </c>
      <c r="I26" s="238">
        <f ca="1">'ІІ. Розр. з бюджетом'!I53</f>
        <v>1005</v>
      </c>
      <c r="J26" s="238">
        <f ca="1">'ІІ. Розр. з бюджетом'!J53</f>
        <v>1005</v>
      </c>
      <c r="K26" s="86"/>
    </row>
    <row r="27" spans="1:15" s="1" customFormat="1">
      <c r="A27" s="103" t="s">
        <v>1183</v>
      </c>
      <c r="B27" s="115" t="s">
        <v>1065</v>
      </c>
      <c r="C27" s="238">
        <f>43.3</f>
        <v>43.3</v>
      </c>
      <c r="D27" s="238">
        <v>50</v>
      </c>
      <c r="E27" s="238">
        <v>0</v>
      </c>
      <c r="F27" s="183">
        <f t="shared" si="3"/>
        <v>0</v>
      </c>
      <c r="G27" s="238">
        <v>0</v>
      </c>
      <c r="H27" s="238">
        <v>0</v>
      </c>
      <c r="I27" s="238">
        <v>0</v>
      </c>
      <c r="J27" s="238">
        <v>0</v>
      </c>
      <c r="K27" s="86"/>
    </row>
    <row r="28" spans="1:15" s="1" customFormat="1" ht="31.5">
      <c r="A28" s="103" t="s">
        <v>1184</v>
      </c>
      <c r="B28" s="115" t="s">
        <v>1066</v>
      </c>
      <c r="C28" s="238">
        <v>120.4</v>
      </c>
      <c r="D28" s="238">
        <v>150</v>
      </c>
      <c r="E28" s="238">
        <v>140</v>
      </c>
      <c r="F28" s="183">
        <f t="shared" si="3"/>
        <v>170</v>
      </c>
      <c r="G28" s="238">
        <v>35</v>
      </c>
      <c r="H28" s="238">
        <v>40</v>
      </c>
      <c r="I28" s="238">
        <v>45</v>
      </c>
      <c r="J28" s="238">
        <v>50</v>
      </c>
      <c r="K28" s="86"/>
    </row>
    <row r="29" spans="1:15" s="1" customFormat="1">
      <c r="A29" s="103" t="s">
        <v>1185</v>
      </c>
      <c r="B29" s="115" t="s">
        <v>1067</v>
      </c>
      <c r="C29" s="238">
        <v>66.7</v>
      </c>
      <c r="D29" s="238">
        <v>70</v>
      </c>
      <c r="E29" s="238">
        <v>80</v>
      </c>
      <c r="F29" s="183">
        <f t="shared" si="3"/>
        <v>86</v>
      </c>
      <c r="G29" s="238">
        <v>20</v>
      </c>
      <c r="H29" s="238">
        <v>20</v>
      </c>
      <c r="I29" s="238">
        <v>23</v>
      </c>
      <c r="J29" s="238">
        <v>23</v>
      </c>
      <c r="K29" s="86"/>
    </row>
    <row r="30" spans="1:15" s="1" customFormat="1">
      <c r="A30" s="103" t="s">
        <v>1186</v>
      </c>
      <c r="B30" s="115" t="s">
        <v>1068</v>
      </c>
      <c r="C30" s="238">
        <f>3.1+62.1</f>
        <v>65.2</v>
      </c>
      <c r="D30" s="238">
        <v>70</v>
      </c>
      <c r="E30" s="238">
        <v>70</v>
      </c>
      <c r="F30" s="183">
        <f t="shared" si="3"/>
        <v>70</v>
      </c>
      <c r="G30" s="238">
        <v>17</v>
      </c>
      <c r="H30" s="238">
        <v>17</v>
      </c>
      <c r="I30" s="238">
        <v>18</v>
      </c>
      <c r="J30" s="238">
        <v>18</v>
      </c>
      <c r="K30" s="86"/>
    </row>
    <row r="31" spans="1:15" s="1" customFormat="1">
      <c r="A31" s="103" t="s">
        <v>1187</v>
      </c>
      <c r="B31" s="115" t="s">
        <v>1069</v>
      </c>
      <c r="C31" s="238">
        <v>51.2</v>
      </c>
      <c r="D31" s="238">
        <v>60</v>
      </c>
      <c r="E31" s="238">
        <v>60</v>
      </c>
      <c r="F31" s="183">
        <f t="shared" si="3"/>
        <v>60</v>
      </c>
      <c r="G31" s="238">
        <v>15</v>
      </c>
      <c r="H31" s="238">
        <v>15</v>
      </c>
      <c r="I31" s="238">
        <v>15</v>
      </c>
      <c r="J31" s="238">
        <v>15</v>
      </c>
      <c r="K31" s="86"/>
    </row>
    <row r="32" spans="1:15" s="1" customFormat="1">
      <c r="A32" s="103" t="s">
        <v>1188</v>
      </c>
      <c r="B32" s="464" t="s">
        <v>1070</v>
      </c>
      <c r="C32" s="238">
        <f>180.3+42.1+99.6+15.9+140.3</f>
        <v>478.2</v>
      </c>
      <c r="D32" s="238">
        <v>500</v>
      </c>
      <c r="E32" s="238">
        <v>600</v>
      </c>
      <c r="F32" s="183">
        <f t="shared" si="3"/>
        <v>600</v>
      </c>
      <c r="G32" s="238">
        <v>140</v>
      </c>
      <c r="H32" s="238">
        <v>150</v>
      </c>
      <c r="I32" s="238">
        <v>150</v>
      </c>
      <c r="J32" s="238">
        <v>160</v>
      </c>
      <c r="K32" s="86"/>
    </row>
    <row r="33" spans="1:11" s="1" customFormat="1">
      <c r="A33" s="103" t="s">
        <v>1189</v>
      </c>
      <c r="B33" s="464" t="s">
        <v>1071</v>
      </c>
      <c r="C33" s="238">
        <f>303.6+27.3+86.3</f>
        <v>417.20000000000005</v>
      </c>
      <c r="D33" s="238">
        <v>300</v>
      </c>
      <c r="E33" s="238">
        <v>480</v>
      </c>
      <c r="F33" s="183">
        <f t="shared" si="3"/>
        <v>480</v>
      </c>
      <c r="G33" s="238">
        <v>120</v>
      </c>
      <c r="H33" s="238">
        <v>120</v>
      </c>
      <c r="I33" s="238">
        <v>120</v>
      </c>
      <c r="J33" s="238">
        <v>120</v>
      </c>
      <c r="K33" s="86"/>
    </row>
    <row r="34" spans="1:11" s="1" customFormat="1">
      <c r="A34" s="103" t="s">
        <v>482</v>
      </c>
      <c r="B34" s="464" t="s">
        <v>1072</v>
      </c>
      <c r="C34" s="238">
        <f>66.8+16.9+201.7+13.6+90.7+29.9+17.7</f>
        <v>437.29999999999995</v>
      </c>
      <c r="D34" s="238">
        <v>450</v>
      </c>
      <c r="E34" s="238">
        <v>520</v>
      </c>
      <c r="F34" s="183">
        <f t="shared" si="3"/>
        <v>520</v>
      </c>
      <c r="G34" s="238">
        <v>125</v>
      </c>
      <c r="H34" s="238">
        <v>125</v>
      </c>
      <c r="I34" s="238">
        <v>130</v>
      </c>
      <c r="J34" s="238">
        <v>140</v>
      </c>
      <c r="K34" s="86"/>
    </row>
    <row r="35" spans="1:11" s="1" customFormat="1">
      <c r="A35" s="103" t="s">
        <v>1190</v>
      </c>
      <c r="B35" s="464" t="s">
        <v>1073</v>
      </c>
      <c r="C35" s="238">
        <v>301.89999999999998</v>
      </c>
      <c r="D35" s="238">
        <v>315</v>
      </c>
      <c r="E35" s="238">
        <v>300</v>
      </c>
      <c r="F35" s="183">
        <f t="shared" si="3"/>
        <v>320</v>
      </c>
      <c r="G35" s="238">
        <v>80</v>
      </c>
      <c r="H35" s="238">
        <v>80</v>
      </c>
      <c r="I35" s="238">
        <v>80</v>
      </c>
      <c r="J35" s="238">
        <v>80</v>
      </c>
      <c r="K35" s="86"/>
    </row>
    <row r="36" spans="1:11" s="1" customFormat="1">
      <c r="A36" s="103" t="s">
        <v>1191</v>
      </c>
      <c r="B36" s="464" t="s">
        <v>1074</v>
      </c>
      <c r="C36" s="238">
        <f>0.7+1.8</f>
        <v>2.5</v>
      </c>
      <c r="D36" s="238">
        <v>5</v>
      </c>
      <c r="E36" s="238">
        <v>5</v>
      </c>
      <c r="F36" s="183">
        <f t="shared" si="3"/>
        <v>5</v>
      </c>
      <c r="G36" s="238">
        <v>1</v>
      </c>
      <c r="H36" s="238">
        <v>1</v>
      </c>
      <c r="I36" s="238">
        <v>2</v>
      </c>
      <c r="J36" s="238">
        <v>1</v>
      </c>
      <c r="K36" s="86"/>
    </row>
    <row r="37" spans="1:11" s="1" customFormat="1">
      <c r="A37" s="103" t="s">
        <v>1192</v>
      </c>
      <c r="B37" s="464" t="s">
        <v>1075</v>
      </c>
      <c r="C37" s="238">
        <v>72.099999999999994</v>
      </c>
      <c r="D37" s="238">
        <v>80</v>
      </c>
      <c r="E37" s="238">
        <v>80</v>
      </c>
      <c r="F37" s="183">
        <f t="shared" si="3"/>
        <v>88</v>
      </c>
      <c r="G37" s="238">
        <v>22</v>
      </c>
      <c r="H37" s="238">
        <v>22</v>
      </c>
      <c r="I37" s="238">
        <v>22</v>
      </c>
      <c r="J37" s="238">
        <v>22</v>
      </c>
      <c r="K37" s="86"/>
    </row>
    <row r="38" spans="1:11" s="1" customFormat="1">
      <c r="A38" s="103" t="s">
        <v>1193</v>
      </c>
      <c r="B38" s="464" t="s">
        <v>1076</v>
      </c>
      <c r="C38" s="238">
        <v>12.6</v>
      </c>
      <c r="D38" s="238">
        <v>20</v>
      </c>
      <c r="E38" s="238">
        <v>20</v>
      </c>
      <c r="F38" s="183">
        <f t="shared" si="3"/>
        <v>24</v>
      </c>
      <c r="G38" s="238">
        <v>6</v>
      </c>
      <c r="H38" s="238">
        <v>6</v>
      </c>
      <c r="I38" s="238">
        <v>6</v>
      </c>
      <c r="J38" s="238">
        <v>6</v>
      </c>
      <c r="K38" s="86"/>
    </row>
    <row r="39" spans="1:11" s="1" customFormat="1">
      <c r="A39" s="103" t="s">
        <v>836</v>
      </c>
      <c r="B39" s="464" t="s">
        <v>1077</v>
      </c>
      <c r="C39" s="238">
        <f>208.4+68.4-0.1</f>
        <v>276.7</v>
      </c>
      <c r="D39" s="238">
        <v>264</v>
      </c>
      <c r="E39" s="238">
        <v>260</v>
      </c>
      <c r="F39" s="183">
        <f t="shared" si="3"/>
        <v>280</v>
      </c>
      <c r="G39" s="238">
        <v>70</v>
      </c>
      <c r="H39" s="238">
        <v>70</v>
      </c>
      <c r="I39" s="238">
        <v>70</v>
      </c>
      <c r="J39" s="238">
        <v>70</v>
      </c>
      <c r="K39" s="86"/>
    </row>
    <row r="40" spans="1:11" s="1" customFormat="1" ht="31.5">
      <c r="A40" s="103" t="s">
        <v>1194</v>
      </c>
      <c r="B40" s="464" t="s">
        <v>1078</v>
      </c>
      <c r="C40" s="238">
        <v>120</v>
      </c>
      <c r="D40" s="238">
        <v>0</v>
      </c>
      <c r="E40" s="238">
        <v>120</v>
      </c>
      <c r="F40" s="183">
        <f t="shared" si="3"/>
        <v>0</v>
      </c>
      <c r="G40" s="238"/>
      <c r="H40" s="238"/>
      <c r="I40" s="238"/>
      <c r="J40" s="238"/>
      <c r="K40" s="86"/>
    </row>
    <row r="41" spans="1:11" s="5" customFormat="1" ht="23.25" customHeight="1">
      <c r="A41" s="9" t="s">
        <v>683</v>
      </c>
      <c r="B41" s="117">
        <v>1020</v>
      </c>
      <c r="C41" s="231">
        <f t="shared" ref="C41:J41" si="4">C7-C14</f>
        <v>-25402.500000000015</v>
      </c>
      <c r="D41" s="231">
        <f t="shared" si="4"/>
        <v>-40825.099999999991</v>
      </c>
      <c r="E41" s="231">
        <f t="shared" si="4"/>
        <v>-31812.592799999999</v>
      </c>
      <c r="F41" s="231">
        <f t="shared" si="4"/>
        <v>-26927.600000000006</v>
      </c>
      <c r="G41" s="231">
        <f t="shared" si="4"/>
        <v>-6307.9000000000015</v>
      </c>
      <c r="H41" s="231">
        <f t="shared" si="4"/>
        <v>-3929.3000000000029</v>
      </c>
      <c r="I41" s="231">
        <f t="shared" si="4"/>
        <v>-7978.2000000000044</v>
      </c>
      <c r="J41" s="231">
        <f t="shared" si="4"/>
        <v>-8712.2000000000044</v>
      </c>
      <c r="K41" s="89"/>
    </row>
    <row r="42" spans="1:11" ht="42.75" customHeight="1">
      <c r="A42" s="9" t="s">
        <v>444</v>
      </c>
      <c r="B42" s="117">
        <v>1030</v>
      </c>
      <c r="C42" s="216">
        <f>C43+C44</f>
        <v>12957.100000000002</v>
      </c>
      <c r="D42" s="216">
        <f>D43+D44</f>
        <v>6267.6</v>
      </c>
      <c r="E42" s="216">
        <f>E43+E44</f>
        <v>6030.2</v>
      </c>
      <c r="F42" s="231">
        <f t="shared" ref="F42:F80" si="5">SUM(G42:J42)</f>
        <v>8426.7999999999993</v>
      </c>
      <c r="G42" s="216">
        <f>G43+G44</f>
        <v>1495</v>
      </c>
      <c r="H42" s="216">
        <f>H43+H44</f>
        <v>1663.8</v>
      </c>
      <c r="I42" s="216">
        <f>I43+I44</f>
        <v>1673.2</v>
      </c>
      <c r="J42" s="216">
        <f>J43+J44</f>
        <v>3594.8</v>
      </c>
      <c r="K42" s="86"/>
    </row>
    <row r="43" spans="1:11" ht="23.25" customHeight="1">
      <c r="A43" s="103" t="s">
        <v>852</v>
      </c>
      <c r="B43" s="182">
        <v>1031</v>
      </c>
      <c r="C43" s="238"/>
      <c r="D43" s="238"/>
      <c r="E43" s="238">
        <v>0</v>
      </c>
      <c r="F43" s="183">
        <f t="shared" si="5"/>
        <v>0</v>
      </c>
      <c r="G43" s="238"/>
      <c r="H43" s="238"/>
      <c r="I43" s="238"/>
      <c r="J43" s="238"/>
      <c r="K43" s="86"/>
    </row>
    <row r="44" spans="1:11" ht="31.5">
      <c r="A44" s="103" t="s">
        <v>1195</v>
      </c>
      <c r="B44" s="182">
        <v>1032</v>
      </c>
      <c r="C44" s="238">
        <f>SUM(C45:C53)</f>
        <v>12957.100000000002</v>
      </c>
      <c r="D44" s="238">
        <f>SUM(D45:D53)</f>
        <v>6267.6</v>
      </c>
      <c r="E44" s="238">
        <f>SUM(E45:E53)</f>
        <v>6030.2</v>
      </c>
      <c r="F44" s="183">
        <f t="shared" si="5"/>
        <v>8426.7999999999993</v>
      </c>
      <c r="G44" s="238">
        <f>SUM(G45:G53)</f>
        <v>1495</v>
      </c>
      <c r="H44" s="238">
        <f>SUM(H45:H53)</f>
        <v>1663.8</v>
      </c>
      <c r="I44" s="238">
        <f>SUM(I45:I53)</f>
        <v>1673.2</v>
      </c>
      <c r="J44" s="238">
        <f>SUM(J45:J53)</f>
        <v>3594.8</v>
      </c>
      <c r="K44" s="86"/>
    </row>
    <row r="45" spans="1:11" ht="21.75" customHeight="1">
      <c r="A45" s="103" t="s">
        <v>1196</v>
      </c>
      <c r="B45" s="182" t="s">
        <v>1079</v>
      </c>
      <c r="C45" s="238">
        <f>11.7+41.3</f>
        <v>53</v>
      </c>
      <c r="D45" s="238">
        <v>12.4</v>
      </c>
      <c r="E45" s="238">
        <v>50</v>
      </c>
      <c r="F45" s="183">
        <f t="shared" si="5"/>
        <v>140</v>
      </c>
      <c r="G45" s="238"/>
      <c r="H45" s="238">
        <v>46</v>
      </c>
      <c r="I45" s="238">
        <v>46</v>
      </c>
      <c r="J45" s="238">
        <v>48</v>
      </c>
      <c r="K45" s="86"/>
    </row>
    <row r="46" spans="1:11" ht="31.5">
      <c r="A46" s="103" t="s">
        <v>1197</v>
      </c>
      <c r="B46" s="182" t="s">
        <v>1080</v>
      </c>
      <c r="C46" s="238">
        <f>65.7+10.5</f>
        <v>76.2</v>
      </c>
      <c r="D46" s="238">
        <v>95</v>
      </c>
      <c r="E46" s="238">
        <v>200</v>
      </c>
      <c r="F46" s="183">
        <f t="shared" si="5"/>
        <v>200</v>
      </c>
      <c r="G46" s="238">
        <v>50</v>
      </c>
      <c r="H46" s="238">
        <v>50</v>
      </c>
      <c r="I46" s="238">
        <v>50</v>
      </c>
      <c r="J46" s="238">
        <v>50</v>
      </c>
      <c r="K46" s="86"/>
    </row>
    <row r="47" spans="1:11" ht="47.25">
      <c r="A47" s="103" t="s">
        <v>1198</v>
      </c>
      <c r="B47" s="182" t="s">
        <v>1081</v>
      </c>
      <c r="C47" s="238">
        <v>8745.1</v>
      </c>
      <c r="D47" s="238">
        <v>0</v>
      </c>
      <c r="E47" s="238">
        <v>0</v>
      </c>
      <c r="F47" s="183">
        <f t="shared" si="5"/>
        <v>2186</v>
      </c>
      <c r="G47" s="238">
        <v>0</v>
      </c>
      <c r="H47" s="238">
        <v>0</v>
      </c>
      <c r="I47" s="238">
        <v>0</v>
      </c>
      <c r="J47" s="238">
        <v>2186</v>
      </c>
      <c r="K47" s="86"/>
    </row>
    <row r="48" spans="1:11">
      <c r="A48" s="103" t="s">
        <v>1199</v>
      </c>
      <c r="B48" s="182" t="s">
        <v>1082</v>
      </c>
      <c r="C48" s="238">
        <f>957.9+870.1</f>
        <v>1828</v>
      </c>
      <c r="D48" s="238">
        <v>2200</v>
      </c>
      <c r="E48" s="238">
        <v>1200</v>
      </c>
      <c r="F48" s="183">
        <f t="shared" si="5"/>
        <v>2200</v>
      </c>
      <c r="G48" s="238">
        <v>550</v>
      </c>
      <c r="H48" s="238">
        <v>550</v>
      </c>
      <c r="I48" s="238">
        <v>550</v>
      </c>
      <c r="J48" s="238">
        <v>550</v>
      </c>
      <c r="K48" s="86"/>
    </row>
    <row r="49" spans="1:12" ht="31.5">
      <c r="A49" s="103" t="s">
        <v>1200</v>
      </c>
      <c r="B49" s="182" t="s">
        <v>1083</v>
      </c>
      <c r="C49" s="238">
        <f>299.8+142.9</f>
        <v>442.70000000000005</v>
      </c>
      <c r="D49" s="238">
        <v>614.40000000000009</v>
      </c>
      <c r="E49" s="238">
        <v>614.4</v>
      </c>
      <c r="F49" s="183">
        <f t="shared" si="5"/>
        <v>710.8</v>
      </c>
      <c r="G49" s="238">
        <v>0</v>
      </c>
      <c r="H49" s="238">
        <v>322.8</v>
      </c>
      <c r="I49" s="238">
        <v>372.2</v>
      </c>
      <c r="J49" s="238">
        <v>15.8</v>
      </c>
      <c r="K49" s="86"/>
    </row>
    <row r="50" spans="1:12" ht="48">
      <c r="A50" s="512" t="s">
        <v>235</v>
      </c>
      <c r="B50" s="182" t="s">
        <v>1084</v>
      </c>
      <c r="C50" s="238"/>
      <c r="D50" s="238">
        <v>1245.8</v>
      </c>
      <c r="E50" s="238">
        <v>1245.8</v>
      </c>
      <c r="F50" s="183">
        <f t="shared" si="5"/>
        <v>0</v>
      </c>
      <c r="G50" s="238">
        <v>0</v>
      </c>
      <c r="H50" s="238">
        <v>0</v>
      </c>
      <c r="I50" s="238">
        <v>0</v>
      </c>
      <c r="J50" s="238">
        <v>0</v>
      </c>
      <c r="K50" s="86"/>
    </row>
    <row r="51" spans="1:12">
      <c r="A51" s="103" t="s">
        <v>1201</v>
      </c>
      <c r="B51" s="182" t="s">
        <v>1085</v>
      </c>
      <c r="C51" s="238">
        <f>155.4+231.8</f>
        <v>387.20000000000005</v>
      </c>
      <c r="D51" s="238">
        <v>420</v>
      </c>
      <c r="E51" s="238">
        <v>420</v>
      </c>
      <c r="F51" s="183">
        <f t="shared" si="5"/>
        <v>490</v>
      </c>
      <c r="G51" s="238">
        <v>270</v>
      </c>
      <c r="H51" s="238">
        <v>70</v>
      </c>
      <c r="I51" s="238">
        <v>30</v>
      </c>
      <c r="J51" s="238">
        <v>120</v>
      </c>
      <c r="K51" s="86"/>
    </row>
    <row r="52" spans="1:12">
      <c r="A52" s="103" t="s">
        <v>1177</v>
      </c>
      <c r="B52" s="182" t="s">
        <v>1086</v>
      </c>
      <c r="C52" s="238">
        <f>4.6+25.5+9.9+10+24.5+2.9+14.6</f>
        <v>92</v>
      </c>
      <c r="D52" s="238">
        <v>0</v>
      </c>
      <c r="E52" s="238">
        <v>100</v>
      </c>
      <c r="F52" s="183">
        <f t="shared" si="5"/>
        <v>0</v>
      </c>
      <c r="G52" s="238">
        <v>0</v>
      </c>
      <c r="H52" s="238">
        <v>0</v>
      </c>
      <c r="I52" s="238">
        <v>0</v>
      </c>
      <c r="J52" s="238">
        <v>0</v>
      </c>
      <c r="K52" s="86"/>
    </row>
    <row r="53" spans="1:12">
      <c r="A53" s="103" t="s">
        <v>1202</v>
      </c>
      <c r="B53" s="182" t="s">
        <v>233</v>
      </c>
      <c r="C53" s="238">
        <f>476+14.3+379.9+222.6+9.8+230.3</f>
        <v>1332.8999999999999</v>
      </c>
      <c r="D53" s="238">
        <v>1680</v>
      </c>
      <c r="E53" s="238">
        <v>2200</v>
      </c>
      <c r="F53" s="183">
        <f t="shared" si="5"/>
        <v>2500</v>
      </c>
      <c r="G53" s="238">
        <v>625</v>
      </c>
      <c r="H53" s="238">
        <v>625</v>
      </c>
      <c r="I53" s="238">
        <v>625</v>
      </c>
      <c r="J53" s="238">
        <v>625</v>
      </c>
      <c r="K53" s="86"/>
    </row>
    <row r="54" spans="1:12" ht="43.5" customHeight="1">
      <c r="A54" s="9" t="s">
        <v>856</v>
      </c>
      <c r="B54" s="117">
        <v>1040</v>
      </c>
      <c r="C54" s="248">
        <f>SUM(C55:C74,C76)</f>
        <v>5923.9999999999991</v>
      </c>
      <c r="D54" s="248">
        <f>SUM(D55:D74,D76)</f>
        <v>6374.0999999999995</v>
      </c>
      <c r="E54" s="248">
        <f>SUM(E55:E74,E76)</f>
        <v>5903.4</v>
      </c>
      <c r="F54" s="248">
        <f>SUM(G54:J54)</f>
        <v>7444.2999999999993</v>
      </c>
      <c r="G54" s="248">
        <f>SUM(G55:G74,G76)</f>
        <v>1759.6</v>
      </c>
      <c r="H54" s="248">
        <f>SUM(H55:H74,H76)</f>
        <v>1655.8999999999999</v>
      </c>
      <c r="I54" s="248">
        <f>SUM(I55:I74,I76)</f>
        <v>1949.4</v>
      </c>
      <c r="J54" s="248">
        <f>SUM(J55:J74,J76)</f>
        <v>2079.4</v>
      </c>
      <c r="K54" s="86"/>
    </row>
    <row r="55" spans="1:12" ht="50.25" customHeight="1">
      <c r="A55" s="103" t="s">
        <v>769</v>
      </c>
      <c r="B55" s="116">
        <v>1041</v>
      </c>
      <c r="C55" s="238">
        <f>77.3+7.7+34.3</f>
        <v>119.3</v>
      </c>
      <c r="D55" s="238">
        <v>130</v>
      </c>
      <c r="E55" s="238">
        <v>136</v>
      </c>
      <c r="F55" s="183">
        <f t="shared" si="5"/>
        <v>144</v>
      </c>
      <c r="G55" s="238">
        <v>36</v>
      </c>
      <c r="H55" s="238">
        <v>36</v>
      </c>
      <c r="I55" s="238">
        <v>36</v>
      </c>
      <c r="J55" s="238">
        <v>36</v>
      </c>
      <c r="K55" s="180"/>
    </row>
    <row r="56" spans="1:12" ht="33.75" customHeight="1">
      <c r="A56" s="103" t="s">
        <v>843</v>
      </c>
      <c r="B56" s="116">
        <v>1042</v>
      </c>
      <c r="C56" s="238">
        <v>0</v>
      </c>
      <c r="D56" s="238">
        <v>0</v>
      </c>
      <c r="E56" s="238">
        <v>0</v>
      </c>
      <c r="F56" s="183">
        <f t="shared" si="5"/>
        <v>33.900000000000006</v>
      </c>
      <c r="G56" s="238">
        <v>0</v>
      </c>
      <c r="H56" s="238">
        <v>11.3</v>
      </c>
      <c r="I56" s="238">
        <v>11.3</v>
      </c>
      <c r="J56" s="238">
        <v>11.3</v>
      </c>
      <c r="K56" s="180"/>
    </row>
    <row r="57" spans="1:12" ht="21.75" customHeight="1">
      <c r="A57" s="103" t="s">
        <v>722</v>
      </c>
      <c r="B57" s="116">
        <v>1043</v>
      </c>
      <c r="C57" s="238">
        <v>0</v>
      </c>
      <c r="D57" s="238">
        <v>0</v>
      </c>
      <c r="E57" s="238">
        <v>0</v>
      </c>
      <c r="F57" s="183">
        <f t="shared" si="5"/>
        <v>0</v>
      </c>
      <c r="G57" s="238">
        <v>0</v>
      </c>
      <c r="H57" s="238">
        <v>0</v>
      </c>
      <c r="I57" s="238">
        <v>0</v>
      </c>
      <c r="J57" s="238">
        <v>0</v>
      </c>
      <c r="K57" s="180"/>
    </row>
    <row r="58" spans="1:12" ht="21.75" customHeight="1">
      <c r="A58" s="103" t="s">
        <v>681</v>
      </c>
      <c r="B58" s="116">
        <v>1044</v>
      </c>
      <c r="C58" s="238">
        <v>0</v>
      </c>
      <c r="D58" s="238">
        <v>0</v>
      </c>
      <c r="E58" s="238">
        <v>0</v>
      </c>
      <c r="F58" s="183">
        <f t="shared" si="5"/>
        <v>0</v>
      </c>
      <c r="G58" s="238">
        <v>0</v>
      </c>
      <c r="H58" s="238">
        <v>0</v>
      </c>
      <c r="I58" s="238">
        <v>0</v>
      </c>
      <c r="J58" s="238">
        <v>0</v>
      </c>
      <c r="K58" s="180"/>
    </row>
    <row r="59" spans="1:12" ht="20.25" customHeight="1">
      <c r="A59" s="103" t="s">
        <v>682</v>
      </c>
      <c r="B59" s="116">
        <v>1045</v>
      </c>
      <c r="C59" s="238">
        <v>4.5</v>
      </c>
      <c r="D59" s="238">
        <v>10</v>
      </c>
      <c r="E59" s="238">
        <v>10</v>
      </c>
      <c r="F59" s="183">
        <f t="shared" si="5"/>
        <v>15</v>
      </c>
      <c r="G59" s="238">
        <v>0</v>
      </c>
      <c r="H59" s="238">
        <v>15</v>
      </c>
      <c r="I59" s="238">
        <v>0</v>
      </c>
      <c r="J59" s="238">
        <v>0</v>
      </c>
      <c r="K59" s="180"/>
    </row>
    <row r="60" spans="1:12" s="1" customFormat="1" ht="23.25" customHeight="1">
      <c r="A60" s="103" t="s">
        <v>698</v>
      </c>
      <c r="B60" s="116">
        <v>1046</v>
      </c>
      <c r="C60" s="238">
        <v>46.3</v>
      </c>
      <c r="D60" s="238">
        <v>44</v>
      </c>
      <c r="E60" s="238">
        <v>50</v>
      </c>
      <c r="F60" s="183">
        <f t="shared" si="5"/>
        <v>52</v>
      </c>
      <c r="G60" s="238">
        <v>12</v>
      </c>
      <c r="H60" s="238">
        <v>12</v>
      </c>
      <c r="I60" s="238">
        <v>14</v>
      </c>
      <c r="J60" s="238">
        <v>14</v>
      </c>
      <c r="K60" s="180"/>
    </row>
    <row r="61" spans="1:12" s="1" customFormat="1" ht="21.75" customHeight="1">
      <c r="A61" s="103" t="s">
        <v>699</v>
      </c>
      <c r="B61" s="116">
        <v>1047</v>
      </c>
      <c r="C61" s="238">
        <v>77.3</v>
      </c>
      <c r="D61" s="238">
        <v>80</v>
      </c>
      <c r="E61" s="238">
        <v>85</v>
      </c>
      <c r="F61" s="183">
        <f t="shared" si="5"/>
        <v>88</v>
      </c>
      <c r="G61" s="238">
        <v>22</v>
      </c>
      <c r="H61" s="238">
        <v>22</v>
      </c>
      <c r="I61" s="238">
        <v>22</v>
      </c>
      <c r="J61" s="238">
        <v>22</v>
      </c>
      <c r="K61" s="180"/>
    </row>
    <row r="62" spans="1:12" s="1" customFormat="1" ht="19.5" customHeight="1">
      <c r="A62" s="103" t="s">
        <v>700</v>
      </c>
      <c r="B62" s="116">
        <v>1048</v>
      </c>
      <c r="C62" s="238">
        <f>3043.5+81.2</f>
        <v>3124.7</v>
      </c>
      <c r="D62" s="238">
        <v>4124.7</v>
      </c>
      <c r="E62" s="238">
        <v>3600</v>
      </c>
      <c r="F62" s="183">
        <f t="shared" si="5"/>
        <v>4794.5999999999995</v>
      </c>
      <c r="G62" s="238">
        <f ca="1">'дод 1 до поясн Розрахунок ФОП'!V416</f>
        <v>1075.0999999999999</v>
      </c>
      <c r="H62" s="238">
        <f ca="1">'дод 1 до поясн Розрахунок ФОП'!V417</f>
        <v>1075.0999999999999</v>
      </c>
      <c r="I62" s="537">
        <f ca="1">'дод 1 до поясн Розрахунок ФОП'!V418</f>
        <v>1322.2</v>
      </c>
      <c r="J62" s="537">
        <f ca="1">'дод 1 до поясн Розрахунок ФОП'!V419</f>
        <v>1322.2</v>
      </c>
      <c r="K62" s="180"/>
      <c r="L62" s="1">
        <v>929.7</v>
      </c>
    </row>
    <row r="63" spans="1:12" s="1" customFormat="1" ht="21" customHeight="1">
      <c r="A63" s="103" t="s">
        <v>701</v>
      </c>
      <c r="B63" s="116">
        <v>1049</v>
      </c>
      <c r="C63" s="238">
        <f>1029.3+27.5</f>
        <v>1056.8</v>
      </c>
      <c r="D63" s="238">
        <v>907.4</v>
      </c>
      <c r="E63" s="238">
        <f>ROUND(E62*0.22,1)</f>
        <v>792</v>
      </c>
      <c r="F63" s="183">
        <f t="shared" si="5"/>
        <v>1054.8</v>
      </c>
      <c r="G63" s="238">
        <f>ROUND(G62*0.22,1)</f>
        <v>236.5</v>
      </c>
      <c r="H63" s="238">
        <f>ROUND(H62*0.22,1)</f>
        <v>236.5</v>
      </c>
      <c r="I63" s="537">
        <f>ROUND(I62*0.22,1)</f>
        <v>290.89999999999998</v>
      </c>
      <c r="J63" s="537">
        <f>ROUND(J62*0.22,1)</f>
        <v>290.89999999999998</v>
      </c>
      <c r="K63" s="180"/>
    </row>
    <row r="64" spans="1:12" s="1" customFormat="1" ht="61.5" customHeight="1">
      <c r="A64" s="103" t="s">
        <v>702</v>
      </c>
      <c r="B64" s="116">
        <v>1050</v>
      </c>
      <c r="C64" s="238">
        <f>200.8+5.4</f>
        <v>206.20000000000002</v>
      </c>
      <c r="D64" s="238">
        <v>184</v>
      </c>
      <c r="E64" s="238">
        <v>265</v>
      </c>
      <c r="F64" s="183">
        <f t="shared" si="5"/>
        <v>264</v>
      </c>
      <c r="G64" s="238">
        <v>66</v>
      </c>
      <c r="H64" s="238">
        <v>66</v>
      </c>
      <c r="I64" s="238">
        <v>66</v>
      </c>
      <c r="J64" s="238">
        <v>66</v>
      </c>
      <c r="K64" s="180"/>
    </row>
    <row r="65" spans="1:11" s="1" customFormat="1" ht="70.5" customHeight="1">
      <c r="A65" s="103" t="s">
        <v>703</v>
      </c>
      <c r="B65" s="116">
        <v>1051</v>
      </c>
      <c r="C65" s="238">
        <v>0</v>
      </c>
      <c r="D65" s="238">
        <v>0</v>
      </c>
      <c r="E65" s="238">
        <v>0</v>
      </c>
      <c r="F65" s="183">
        <f t="shared" si="5"/>
        <v>0</v>
      </c>
      <c r="G65" s="238">
        <v>0</v>
      </c>
      <c r="H65" s="238">
        <v>0</v>
      </c>
      <c r="I65" s="238">
        <v>0</v>
      </c>
      <c r="J65" s="238">
        <v>0</v>
      </c>
      <c r="K65" s="86"/>
    </row>
    <row r="66" spans="1:11" s="1" customFormat="1" ht="51.75" customHeight="1">
      <c r="A66" s="103" t="s">
        <v>704</v>
      </c>
      <c r="B66" s="116">
        <v>1052</v>
      </c>
      <c r="C66" s="238">
        <v>0</v>
      </c>
      <c r="D66" s="238">
        <v>0</v>
      </c>
      <c r="E66" s="238">
        <v>0</v>
      </c>
      <c r="F66" s="183">
        <f t="shared" si="5"/>
        <v>0</v>
      </c>
      <c r="G66" s="238">
        <v>0</v>
      </c>
      <c r="H66" s="238">
        <v>0</v>
      </c>
      <c r="I66" s="238">
        <v>0</v>
      </c>
      <c r="J66" s="238">
        <v>0</v>
      </c>
      <c r="K66" s="86"/>
    </row>
    <row r="67" spans="1:11" s="1" customFormat="1" ht="42.75" customHeight="1">
      <c r="A67" s="103" t="s">
        <v>705</v>
      </c>
      <c r="B67" s="116">
        <v>1053</v>
      </c>
      <c r="C67" s="238">
        <v>0</v>
      </c>
      <c r="D67" s="238">
        <v>0</v>
      </c>
      <c r="E67" s="238">
        <v>0</v>
      </c>
      <c r="F67" s="183">
        <f t="shared" si="5"/>
        <v>0</v>
      </c>
      <c r="G67" s="238">
        <v>0</v>
      </c>
      <c r="H67" s="238">
        <v>0</v>
      </c>
      <c r="I67" s="238">
        <v>0</v>
      </c>
      <c r="J67" s="238">
        <v>0</v>
      </c>
      <c r="K67" s="86"/>
    </row>
    <row r="68" spans="1:11" s="1" customFormat="1" ht="24" customHeight="1">
      <c r="A68" s="103" t="s">
        <v>706</v>
      </c>
      <c r="B68" s="116">
        <v>1054</v>
      </c>
      <c r="C68" s="238">
        <v>0</v>
      </c>
      <c r="D68" s="238">
        <v>0</v>
      </c>
      <c r="E68" s="238">
        <v>0</v>
      </c>
      <c r="F68" s="183">
        <f t="shared" si="5"/>
        <v>0</v>
      </c>
      <c r="G68" s="238">
        <v>0</v>
      </c>
      <c r="H68" s="238">
        <v>0</v>
      </c>
      <c r="I68" s="238">
        <v>0</v>
      </c>
      <c r="J68" s="238">
        <v>0</v>
      </c>
      <c r="K68" s="86"/>
    </row>
    <row r="69" spans="1:11" s="1" customFormat="1" ht="36" customHeight="1">
      <c r="A69" s="103" t="s">
        <v>726</v>
      </c>
      <c r="B69" s="116">
        <v>1055</v>
      </c>
      <c r="C69" s="238">
        <f>309.7+6.5</f>
        <v>316.2</v>
      </c>
      <c r="D69" s="238">
        <v>36</v>
      </c>
      <c r="E69" s="238">
        <v>36</v>
      </c>
      <c r="F69" s="183">
        <f t="shared" si="5"/>
        <v>84</v>
      </c>
      <c r="G69" s="238">
        <v>21</v>
      </c>
      <c r="H69" s="238">
        <v>21</v>
      </c>
      <c r="I69" s="238">
        <v>21</v>
      </c>
      <c r="J69" s="238">
        <v>21</v>
      </c>
      <c r="K69" s="86"/>
    </row>
    <row r="70" spans="1:11" s="1" customFormat="1">
      <c r="A70" s="103" t="s">
        <v>707</v>
      </c>
      <c r="B70" s="116">
        <v>1056</v>
      </c>
      <c r="C70" s="238">
        <v>0</v>
      </c>
      <c r="D70" s="238">
        <v>0</v>
      </c>
      <c r="E70" s="238">
        <v>0</v>
      </c>
      <c r="F70" s="183">
        <f t="shared" si="5"/>
        <v>0</v>
      </c>
      <c r="G70" s="238">
        <v>0</v>
      </c>
      <c r="H70" s="238">
        <v>0</v>
      </c>
      <c r="I70" s="238">
        <v>0</v>
      </c>
      <c r="J70" s="238">
        <v>0</v>
      </c>
      <c r="K70" s="86"/>
    </row>
    <row r="71" spans="1:11" s="1" customFormat="1">
      <c r="A71" s="103" t="s">
        <v>708</v>
      </c>
      <c r="B71" s="116">
        <v>1057</v>
      </c>
      <c r="C71" s="238">
        <v>0</v>
      </c>
      <c r="D71" s="238">
        <v>0</v>
      </c>
      <c r="E71" s="238">
        <v>0</v>
      </c>
      <c r="F71" s="183">
        <f t="shared" si="5"/>
        <v>0</v>
      </c>
      <c r="G71" s="238">
        <v>0</v>
      </c>
      <c r="H71" s="238">
        <v>0</v>
      </c>
      <c r="I71" s="238">
        <v>0</v>
      </c>
      <c r="J71" s="238">
        <v>0</v>
      </c>
      <c r="K71" s="86"/>
    </row>
    <row r="72" spans="1:11" s="1" customFormat="1" ht="36" customHeight="1">
      <c r="A72" s="103" t="s">
        <v>709</v>
      </c>
      <c r="B72" s="116">
        <v>1058</v>
      </c>
      <c r="C72" s="238">
        <v>0</v>
      </c>
      <c r="D72" s="238">
        <v>0</v>
      </c>
      <c r="E72" s="238">
        <v>0</v>
      </c>
      <c r="F72" s="183">
        <f t="shared" si="5"/>
        <v>0</v>
      </c>
      <c r="G72" s="238">
        <v>0</v>
      </c>
      <c r="H72" s="238">
        <v>0</v>
      </c>
      <c r="I72" s="238">
        <v>0</v>
      </c>
      <c r="J72" s="238">
        <v>0</v>
      </c>
      <c r="K72" s="86"/>
    </row>
    <row r="73" spans="1:11" s="1" customFormat="1" ht="40.5" customHeight="1">
      <c r="A73" s="103" t="s">
        <v>710</v>
      </c>
      <c r="B73" s="116">
        <v>1059</v>
      </c>
      <c r="C73" s="238">
        <v>42.5</v>
      </c>
      <c r="D73" s="238">
        <v>40</v>
      </c>
      <c r="E73" s="238">
        <v>40</v>
      </c>
      <c r="F73" s="183">
        <f t="shared" si="5"/>
        <v>40</v>
      </c>
      <c r="G73" s="238">
        <v>10</v>
      </c>
      <c r="H73" s="238">
        <v>10</v>
      </c>
      <c r="I73" s="238">
        <v>10</v>
      </c>
      <c r="J73" s="238">
        <v>10</v>
      </c>
      <c r="K73" s="86"/>
    </row>
    <row r="74" spans="1:11" s="1" customFormat="1" ht="66.75" customHeight="1">
      <c r="A74" s="103" t="s">
        <v>739</v>
      </c>
      <c r="B74" s="116">
        <v>1060</v>
      </c>
      <c r="C74" s="238">
        <v>0</v>
      </c>
      <c r="D74" s="238">
        <v>0</v>
      </c>
      <c r="E74" s="238">
        <v>0</v>
      </c>
      <c r="F74" s="183">
        <f t="shared" si="5"/>
        <v>0</v>
      </c>
      <c r="G74" s="238">
        <v>0</v>
      </c>
      <c r="H74" s="238">
        <v>0</v>
      </c>
      <c r="I74" s="238">
        <v>0</v>
      </c>
      <c r="J74" s="238">
        <v>0</v>
      </c>
      <c r="K74" s="86"/>
    </row>
    <row r="75" spans="1:11" s="1" customFormat="1" ht="33.75" customHeight="1">
      <c r="A75" s="103" t="s">
        <v>711</v>
      </c>
      <c r="B75" s="182">
        <v>1061</v>
      </c>
      <c r="C75" s="247">
        <v>0</v>
      </c>
      <c r="D75" s="247">
        <v>0</v>
      </c>
      <c r="E75" s="238">
        <v>0</v>
      </c>
      <c r="F75" s="183">
        <f t="shared" si="5"/>
        <v>0</v>
      </c>
      <c r="G75" s="238">
        <v>0</v>
      </c>
      <c r="H75" s="238">
        <v>0</v>
      </c>
      <c r="I75" s="238">
        <v>0</v>
      </c>
      <c r="J75" s="238">
        <v>0</v>
      </c>
      <c r="K75" s="86"/>
    </row>
    <row r="76" spans="1:11" s="1" customFormat="1" ht="39" customHeight="1">
      <c r="A76" s="103" t="s">
        <v>773</v>
      </c>
      <c r="B76" s="116">
        <v>1062</v>
      </c>
      <c r="C76" s="238">
        <f>SUM(C77:C91)</f>
        <v>930.19999999999993</v>
      </c>
      <c r="D76" s="238">
        <f>SUM(D77:D91)</f>
        <v>818</v>
      </c>
      <c r="E76" s="238">
        <f>SUM(E77:E91)</f>
        <v>889.40000000000009</v>
      </c>
      <c r="F76" s="183">
        <f t="shared" si="5"/>
        <v>874</v>
      </c>
      <c r="G76" s="238">
        <f>SUM(G77:G91)</f>
        <v>281</v>
      </c>
      <c r="H76" s="238">
        <f>SUM(H77:H91)</f>
        <v>151</v>
      </c>
      <c r="I76" s="238">
        <f>SUM(I77:I91)</f>
        <v>156</v>
      </c>
      <c r="J76" s="238">
        <f>SUM(J77:J91)</f>
        <v>286</v>
      </c>
      <c r="K76" s="86"/>
    </row>
    <row r="77" spans="1:11" s="1" customFormat="1">
      <c r="A77" s="103" t="s">
        <v>1180</v>
      </c>
      <c r="B77" s="116" t="s">
        <v>1087</v>
      </c>
      <c r="C77" s="238">
        <f>104.1+22.9+15.4</f>
        <v>142.4</v>
      </c>
      <c r="D77" s="238">
        <v>230</v>
      </c>
      <c r="E77" s="238">
        <v>230</v>
      </c>
      <c r="F77" s="183">
        <f t="shared" si="5"/>
        <v>260</v>
      </c>
      <c r="G77" s="238">
        <v>130</v>
      </c>
      <c r="H77" s="238">
        <v>0</v>
      </c>
      <c r="I77" s="238">
        <v>0</v>
      </c>
      <c r="J77" s="238">
        <v>130</v>
      </c>
      <c r="K77" s="86"/>
    </row>
    <row r="78" spans="1:11" s="1" customFormat="1">
      <c r="A78" s="103" t="s">
        <v>1203</v>
      </c>
      <c r="B78" s="116" t="s">
        <v>1088</v>
      </c>
      <c r="C78" s="238">
        <v>25</v>
      </c>
      <c r="D78" s="238">
        <v>24</v>
      </c>
      <c r="E78" s="238">
        <v>24</v>
      </c>
      <c r="F78" s="183">
        <f t="shared" si="5"/>
        <v>24</v>
      </c>
      <c r="G78" s="238">
        <v>6</v>
      </c>
      <c r="H78" s="238">
        <v>6</v>
      </c>
      <c r="I78" s="238">
        <v>6</v>
      </c>
      <c r="J78" s="238">
        <v>6</v>
      </c>
      <c r="K78" s="86"/>
    </row>
    <row r="79" spans="1:11" s="1" customFormat="1">
      <c r="A79" s="103" t="s">
        <v>1204</v>
      </c>
      <c r="B79" s="116" t="s">
        <v>1089</v>
      </c>
      <c r="C79" s="238">
        <v>68.900000000000006</v>
      </c>
      <c r="D79" s="238">
        <v>100</v>
      </c>
      <c r="E79" s="238">
        <v>80</v>
      </c>
      <c r="F79" s="183">
        <f t="shared" si="5"/>
        <v>80</v>
      </c>
      <c r="G79" s="238">
        <v>20</v>
      </c>
      <c r="H79" s="238">
        <v>20</v>
      </c>
      <c r="I79" s="238">
        <v>20</v>
      </c>
      <c r="J79" s="238">
        <v>20</v>
      </c>
      <c r="K79" s="86"/>
    </row>
    <row r="80" spans="1:11" s="1" customFormat="1">
      <c r="A80" s="103" t="s">
        <v>1205</v>
      </c>
      <c r="B80" s="116" t="s">
        <v>1090</v>
      </c>
      <c r="C80" s="238">
        <f>64.4+21.9</f>
        <v>86.300000000000011</v>
      </c>
      <c r="D80" s="238">
        <v>114</v>
      </c>
      <c r="E80" s="238">
        <v>114</v>
      </c>
      <c r="F80" s="183">
        <f t="shared" si="5"/>
        <v>130</v>
      </c>
      <c r="G80" s="238">
        <v>30</v>
      </c>
      <c r="H80" s="238">
        <v>30</v>
      </c>
      <c r="I80" s="238">
        <v>35</v>
      </c>
      <c r="J80" s="238">
        <v>35</v>
      </c>
      <c r="K80" s="86"/>
    </row>
    <row r="81" spans="1:12" s="1" customFormat="1">
      <c r="A81" s="103" t="s">
        <v>1206</v>
      </c>
      <c r="B81" s="116" t="s">
        <v>1091</v>
      </c>
      <c r="C81" s="238">
        <f>32.4+33.5</f>
        <v>65.900000000000006</v>
      </c>
      <c r="D81" s="238">
        <v>80</v>
      </c>
      <c r="E81" s="238">
        <v>80</v>
      </c>
      <c r="F81" s="183">
        <f t="shared" ref="F81:F144" si="6">SUM(G81:J81)</f>
        <v>100</v>
      </c>
      <c r="G81" s="238">
        <v>25</v>
      </c>
      <c r="H81" s="238">
        <v>25</v>
      </c>
      <c r="I81" s="238">
        <v>25</v>
      </c>
      <c r="J81" s="238">
        <v>25</v>
      </c>
      <c r="K81" s="86"/>
    </row>
    <row r="82" spans="1:12" s="1" customFormat="1">
      <c r="A82" s="103" t="s">
        <v>1187</v>
      </c>
      <c r="B82" s="116" t="s">
        <v>1092</v>
      </c>
      <c r="C82" s="238">
        <v>8.6</v>
      </c>
      <c r="D82" s="238">
        <v>10</v>
      </c>
      <c r="E82" s="238">
        <v>10</v>
      </c>
      <c r="F82" s="183">
        <f t="shared" si="6"/>
        <v>12</v>
      </c>
      <c r="G82" s="238">
        <v>3</v>
      </c>
      <c r="H82" s="238">
        <v>3</v>
      </c>
      <c r="I82" s="238">
        <v>3</v>
      </c>
      <c r="J82" s="238">
        <v>3</v>
      </c>
      <c r="K82" s="86"/>
    </row>
    <row r="83" spans="1:12" s="1" customFormat="1">
      <c r="A83" s="103" t="s">
        <v>1207</v>
      </c>
      <c r="B83" s="116" t="s">
        <v>1093</v>
      </c>
      <c r="C83" s="238">
        <v>6.8</v>
      </c>
      <c r="D83" s="238">
        <v>7.2</v>
      </c>
      <c r="E83" s="238">
        <v>7.2</v>
      </c>
      <c r="F83" s="183">
        <f t="shared" si="6"/>
        <v>8</v>
      </c>
      <c r="G83" s="238">
        <v>2</v>
      </c>
      <c r="H83" s="238">
        <v>2</v>
      </c>
      <c r="I83" s="238">
        <v>2</v>
      </c>
      <c r="J83" s="238">
        <v>2</v>
      </c>
      <c r="K83" s="86"/>
    </row>
    <row r="84" spans="1:12" s="1" customFormat="1">
      <c r="A84" s="103" t="s">
        <v>1208</v>
      </c>
      <c r="B84" s="116" t="s">
        <v>1094</v>
      </c>
      <c r="C84" s="238">
        <v>22</v>
      </c>
      <c r="D84" s="238">
        <v>20</v>
      </c>
      <c r="E84" s="238">
        <v>20</v>
      </c>
      <c r="F84" s="183">
        <f t="shared" si="6"/>
        <v>20</v>
      </c>
      <c r="G84" s="238">
        <v>5</v>
      </c>
      <c r="H84" s="238">
        <v>5</v>
      </c>
      <c r="I84" s="238">
        <v>5</v>
      </c>
      <c r="J84" s="238">
        <v>5</v>
      </c>
      <c r="K84" s="86"/>
    </row>
    <row r="85" spans="1:12" s="1" customFormat="1">
      <c r="A85" s="103" t="s">
        <v>1209</v>
      </c>
      <c r="B85" s="116" t="s">
        <v>1095</v>
      </c>
      <c r="C85" s="238">
        <f>393.3+10.5-C55-C80-C81+7.7</f>
        <v>139.99999999999997</v>
      </c>
      <c r="D85" s="238">
        <v>80</v>
      </c>
      <c r="E85" s="238">
        <v>80</v>
      </c>
      <c r="F85" s="183">
        <f t="shared" si="6"/>
        <v>100</v>
      </c>
      <c r="G85" s="238">
        <v>25</v>
      </c>
      <c r="H85" s="238">
        <v>25</v>
      </c>
      <c r="I85" s="238">
        <v>25</v>
      </c>
      <c r="J85" s="238">
        <v>25</v>
      </c>
      <c r="K85" s="86"/>
    </row>
    <row r="86" spans="1:12" s="1" customFormat="1">
      <c r="A86" s="103" t="s">
        <v>1210</v>
      </c>
      <c r="B86" s="116" t="s">
        <v>1096</v>
      </c>
      <c r="C86" s="238">
        <v>4.3</v>
      </c>
      <c r="D86" s="238">
        <v>6</v>
      </c>
      <c r="E86" s="238">
        <v>6</v>
      </c>
      <c r="F86" s="183">
        <f t="shared" si="6"/>
        <v>8</v>
      </c>
      <c r="G86" s="238">
        <v>2</v>
      </c>
      <c r="H86" s="238">
        <v>2</v>
      </c>
      <c r="I86" s="238">
        <v>2</v>
      </c>
      <c r="J86" s="238">
        <v>2</v>
      </c>
      <c r="K86" s="86"/>
    </row>
    <row r="87" spans="1:12" s="1" customFormat="1">
      <c r="A87" s="103" t="s">
        <v>1177</v>
      </c>
      <c r="B87" s="116" t="s">
        <v>1097</v>
      </c>
      <c r="C87" s="238">
        <f>15.4-7.7+10-0.5</f>
        <v>17.2</v>
      </c>
      <c r="D87" s="238">
        <v>26.8</v>
      </c>
      <c r="E87" s="238">
        <v>30</v>
      </c>
      <c r="F87" s="183">
        <f t="shared" si="6"/>
        <v>32</v>
      </c>
      <c r="G87" s="238">
        <v>8</v>
      </c>
      <c r="H87" s="238">
        <v>8</v>
      </c>
      <c r="I87" s="238">
        <v>8</v>
      </c>
      <c r="J87" s="238">
        <v>8</v>
      </c>
      <c r="K87" s="86"/>
    </row>
    <row r="88" spans="1:12" s="1" customFormat="1">
      <c r="A88" s="103" t="s">
        <v>1211</v>
      </c>
      <c r="B88" s="116" t="s">
        <v>1098</v>
      </c>
      <c r="C88" s="238">
        <v>236.5</v>
      </c>
      <c r="D88" s="238">
        <v>0</v>
      </c>
      <c r="E88" s="238">
        <v>88.2</v>
      </c>
      <c r="F88" s="183">
        <f t="shared" si="6"/>
        <v>0</v>
      </c>
      <c r="G88" s="238"/>
      <c r="H88" s="238"/>
      <c r="I88" s="238"/>
      <c r="J88" s="238"/>
      <c r="K88" s="86"/>
    </row>
    <row r="89" spans="1:12" s="1" customFormat="1" ht="31.5">
      <c r="A89" s="103" t="s">
        <v>1212</v>
      </c>
      <c r="B89" s="116" t="s">
        <v>1099</v>
      </c>
      <c r="C89" s="238">
        <v>21</v>
      </c>
      <c r="D89" s="238">
        <v>0</v>
      </c>
      <c r="E89" s="238">
        <v>0</v>
      </c>
      <c r="F89" s="183">
        <f t="shared" si="6"/>
        <v>0</v>
      </c>
      <c r="G89" s="238"/>
      <c r="H89" s="238"/>
      <c r="I89" s="238"/>
      <c r="J89" s="238"/>
      <c r="K89" s="86"/>
    </row>
    <row r="90" spans="1:12" s="1" customFormat="1">
      <c r="A90" s="103" t="s">
        <v>1213</v>
      </c>
      <c r="B90" s="116" t="s">
        <v>1100</v>
      </c>
      <c r="C90" s="238">
        <v>40</v>
      </c>
      <c r="D90" s="238">
        <v>60</v>
      </c>
      <c r="E90" s="238">
        <v>60</v>
      </c>
      <c r="F90" s="183">
        <f t="shared" si="6"/>
        <v>60</v>
      </c>
      <c r="G90" s="238">
        <v>15</v>
      </c>
      <c r="H90" s="238">
        <v>15</v>
      </c>
      <c r="I90" s="238">
        <v>15</v>
      </c>
      <c r="J90" s="238">
        <v>15</v>
      </c>
      <c r="K90" s="86"/>
    </row>
    <row r="91" spans="1:12" s="1" customFormat="1" ht="31.5">
      <c r="A91" s="103" t="s">
        <v>1214</v>
      </c>
      <c r="B91" s="116" t="s">
        <v>1101</v>
      </c>
      <c r="C91" s="238">
        <v>45.3</v>
      </c>
      <c r="D91" s="238">
        <v>60</v>
      </c>
      <c r="E91" s="238">
        <v>60</v>
      </c>
      <c r="F91" s="183">
        <f t="shared" si="6"/>
        <v>40</v>
      </c>
      <c r="G91" s="238">
        <v>10</v>
      </c>
      <c r="H91" s="238">
        <v>10</v>
      </c>
      <c r="I91" s="238">
        <v>10</v>
      </c>
      <c r="J91" s="238">
        <v>10</v>
      </c>
      <c r="K91" s="86"/>
    </row>
    <row r="92" spans="1:12" ht="38.25" customHeight="1">
      <c r="A92" s="9" t="s">
        <v>445</v>
      </c>
      <c r="B92" s="117">
        <v>1070</v>
      </c>
      <c r="C92" s="231">
        <f>SUM(C93:C99)</f>
        <v>5162.3999999999996</v>
      </c>
      <c r="D92" s="231">
        <f>SUM(D93:D99)</f>
        <v>7807</v>
      </c>
      <c r="E92" s="231">
        <f>SUM(E93:E99)</f>
        <v>7277.9</v>
      </c>
      <c r="F92" s="231">
        <f>SUM(G92:J92)</f>
        <v>6137.2999999999993</v>
      </c>
      <c r="G92" s="231">
        <f>SUM(G93:G99)</f>
        <v>1494.3</v>
      </c>
      <c r="H92" s="231">
        <f>SUM(H93:H99)</f>
        <v>1511.6</v>
      </c>
      <c r="I92" s="231">
        <f>SUM(I93:I99)</f>
        <v>1555.2</v>
      </c>
      <c r="J92" s="231">
        <f>SUM(J93:J99)</f>
        <v>1576.2</v>
      </c>
      <c r="K92" s="86"/>
    </row>
    <row r="93" spans="1:12">
      <c r="A93" s="103" t="s">
        <v>700</v>
      </c>
      <c r="B93" s="116">
        <v>1071</v>
      </c>
      <c r="C93" s="238">
        <v>2372.3000000000002</v>
      </c>
      <c r="D93" s="238">
        <v>4111.6000000000004</v>
      </c>
      <c r="E93" s="238">
        <v>3800</v>
      </c>
      <c r="F93" s="183">
        <f t="shared" ref="F93:F98" si="7">SUM(G93:J93)</f>
        <v>2894.3999999999996</v>
      </c>
      <c r="G93" s="238">
        <f ca="1">'дод 1 до поясн Розрахунок ФОП'!X416</f>
        <v>709</v>
      </c>
      <c r="H93" s="238">
        <f ca="1">'дод 1 до поясн Розрахунок ФОП'!X417</f>
        <v>709</v>
      </c>
      <c r="I93" s="238">
        <f ca="1">'дод 1 до поясн Розрахунок ФОП'!X418</f>
        <v>738.2</v>
      </c>
      <c r="J93" s="238">
        <f ca="1">'дод 1 до поясн Розрахунок ФОП'!X419</f>
        <v>738.2</v>
      </c>
      <c r="K93" s="86"/>
      <c r="L93" s="2">
        <f>912.3-0.2</f>
        <v>912.09999999999991</v>
      </c>
    </row>
    <row r="94" spans="1:12">
      <c r="A94" s="103" t="s">
        <v>701</v>
      </c>
      <c r="B94" s="116">
        <v>1072</v>
      </c>
      <c r="C94" s="208">
        <v>844.1</v>
      </c>
      <c r="D94" s="238">
        <v>904.7</v>
      </c>
      <c r="E94" s="238">
        <f>ROUND(E93*0.22,1)</f>
        <v>836</v>
      </c>
      <c r="F94" s="183">
        <f t="shared" si="7"/>
        <v>636.79999999999995</v>
      </c>
      <c r="G94" s="238">
        <f>ROUND(G93*0.22,1)</f>
        <v>156</v>
      </c>
      <c r="H94" s="238">
        <f>ROUND(H93*0.22,1)</f>
        <v>156</v>
      </c>
      <c r="I94" s="238">
        <f>ROUND(I93*0.22,1)</f>
        <v>162.4</v>
      </c>
      <c r="J94" s="238">
        <f>ROUND(J93*0.22,1)</f>
        <v>162.4</v>
      </c>
      <c r="K94" s="86"/>
    </row>
    <row r="95" spans="1:12">
      <c r="A95" s="103" t="s">
        <v>819</v>
      </c>
      <c r="B95" s="116">
        <v>1073</v>
      </c>
      <c r="C95" s="238">
        <v>0</v>
      </c>
      <c r="D95" s="238">
        <v>0</v>
      </c>
      <c r="E95" s="238">
        <v>0</v>
      </c>
      <c r="F95" s="183">
        <f t="shared" si="7"/>
        <v>0</v>
      </c>
      <c r="G95" s="238">
        <v>0</v>
      </c>
      <c r="H95" s="238">
        <v>0</v>
      </c>
      <c r="I95" s="238">
        <v>0</v>
      </c>
      <c r="J95" s="238">
        <v>0</v>
      </c>
      <c r="K95" s="86"/>
    </row>
    <row r="96" spans="1:12" ht="31.5">
      <c r="A96" s="103" t="s">
        <v>723</v>
      </c>
      <c r="B96" s="116">
        <v>1074</v>
      </c>
      <c r="C96" s="238">
        <v>24.5</v>
      </c>
      <c r="D96" s="238">
        <v>32</v>
      </c>
      <c r="E96" s="238">
        <v>77.2</v>
      </c>
      <c r="F96" s="183">
        <f t="shared" si="7"/>
        <v>80</v>
      </c>
      <c r="G96" s="238">
        <v>20</v>
      </c>
      <c r="H96" s="238">
        <v>20</v>
      </c>
      <c r="I96" s="238">
        <v>20</v>
      </c>
      <c r="J96" s="238">
        <v>20</v>
      </c>
      <c r="K96" s="86"/>
    </row>
    <row r="97" spans="1:11">
      <c r="A97" s="103" t="s">
        <v>742</v>
      </c>
      <c r="B97" s="116">
        <v>1075</v>
      </c>
      <c r="C97" s="238">
        <v>10.1</v>
      </c>
      <c r="D97" s="238">
        <v>18</v>
      </c>
      <c r="E97" s="238">
        <v>18</v>
      </c>
      <c r="F97" s="183">
        <f t="shared" si="7"/>
        <v>20</v>
      </c>
      <c r="G97" s="238">
        <v>5</v>
      </c>
      <c r="H97" s="238">
        <v>5</v>
      </c>
      <c r="I97" s="238">
        <v>5</v>
      </c>
      <c r="J97" s="238">
        <v>5</v>
      </c>
      <c r="K97" s="86"/>
    </row>
    <row r="98" spans="1:11">
      <c r="A98" s="103" t="s">
        <v>820</v>
      </c>
      <c r="B98" s="116">
        <v>1076</v>
      </c>
      <c r="C98" s="238">
        <v>0</v>
      </c>
      <c r="D98" s="238">
        <v>0</v>
      </c>
      <c r="E98" s="238">
        <v>0</v>
      </c>
      <c r="F98" s="183">
        <f t="shared" si="7"/>
        <v>0</v>
      </c>
      <c r="G98" s="238">
        <v>0</v>
      </c>
      <c r="H98" s="238">
        <v>0</v>
      </c>
      <c r="I98" s="238">
        <v>0</v>
      </c>
      <c r="J98" s="238">
        <v>0</v>
      </c>
      <c r="K98" s="86"/>
    </row>
    <row r="99" spans="1:11" s="1" customFormat="1" ht="33.75" customHeight="1">
      <c r="A99" s="103" t="s">
        <v>783</v>
      </c>
      <c r="B99" s="116">
        <v>1077</v>
      </c>
      <c r="C99" s="208">
        <f>SUM(C100:C108)</f>
        <v>1911.3999999999999</v>
      </c>
      <c r="D99" s="208">
        <f>SUM(D100:D108)</f>
        <v>2740.7</v>
      </c>
      <c r="E99" s="208">
        <f>SUM(E100:E108)</f>
        <v>2546.6999999999998</v>
      </c>
      <c r="F99" s="183">
        <f t="shared" si="6"/>
        <v>2506.1</v>
      </c>
      <c r="G99" s="208">
        <f>SUM(G100:G108)</f>
        <v>604.29999999999995</v>
      </c>
      <c r="H99" s="208">
        <f>SUM(H100:H108)</f>
        <v>621.6</v>
      </c>
      <c r="I99" s="208">
        <f>SUM(I100:I108)</f>
        <v>629.6</v>
      </c>
      <c r="J99" s="208">
        <f>SUM(J100:J108)</f>
        <v>650.6</v>
      </c>
      <c r="K99" s="86"/>
    </row>
    <row r="100" spans="1:11" s="1" customFormat="1">
      <c r="A100" s="103" t="s">
        <v>1203</v>
      </c>
      <c r="B100" s="116" t="s">
        <v>496</v>
      </c>
      <c r="C100" s="208">
        <v>1652.4</v>
      </c>
      <c r="D100" s="238">
        <v>1960</v>
      </c>
      <c r="E100" s="238">
        <v>1960</v>
      </c>
      <c r="F100" s="183">
        <f t="shared" si="6"/>
        <v>1660.1</v>
      </c>
      <c r="G100" s="238">
        <f>ROUND(G7*0.0126,1)</f>
        <v>384.3</v>
      </c>
      <c r="H100" s="238">
        <f>ROUND(H7*0.0126,1)</f>
        <v>420.6</v>
      </c>
      <c r="I100" s="238">
        <f>ROUND(I7*0.0126,1)</f>
        <v>427.6</v>
      </c>
      <c r="J100" s="238">
        <f>ROUND(J7*0.0126,1)</f>
        <v>427.6</v>
      </c>
      <c r="K100" s="86"/>
    </row>
    <row r="101" spans="1:11" s="1" customFormat="1">
      <c r="A101" s="103" t="s">
        <v>1180</v>
      </c>
      <c r="B101" s="116" t="s">
        <v>497</v>
      </c>
      <c r="C101" s="208">
        <v>19</v>
      </c>
      <c r="D101" s="238">
        <v>30</v>
      </c>
      <c r="E101" s="238">
        <v>30</v>
      </c>
      <c r="F101" s="183">
        <f t="shared" si="6"/>
        <v>40</v>
      </c>
      <c r="G101" s="238">
        <v>20</v>
      </c>
      <c r="H101" s="238">
        <v>0</v>
      </c>
      <c r="I101" s="238">
        <v>0</v>
      </c>
      <c r="J101" s="238">
        <v>20</v>
      </c>
      <c r="K101" s="86"/>
    </row>
    <row r="102" spans="1:11" s="1" customFormat="1">
      <c r="A102" s="103" t="s">
        <v>1215</v>
      </c>
      <c r="B102" s="116" t="s">
        <v>498</v>
      </c>
      <c r="C102" s="208">
        <f>58.7+19.2+2.5+19.1+4.3+10.9</f>
        <v>114.7</v>
      </c>
      <c r="D102" s="238">
        <v>140</v>
      </c>
      <c r="E102" s="238">
        <v>168</v>
      </c>
      <c r="F102" s="183">
        <f t="shared" si="6"/>
        <v>176</v>
      </c>
      <c r="G102" s="238">
        <v>44</v>
      </c>
      <c r="H102" s="238">
        <v>44</v>
      </c>
      <c r="I102" s="238">
        <v>44</v>
      </c>
      <c r="J102" s="238">
        <v>44</v>
      </c>
      <c r="K102" s="86"/>
    </row>
    <row r="103" spans="1:11" s="1" customFormat="1">
      <c r="A103" s="103" t="s">
        <v>1216</v>
      </c>
      <c r="B103" s="116" t="s">
        <v>499</v>
      </c>
      <c r="C103" s="208">
        <f>9.8+5.5</f>
        <v>15.3</v>
      </c>
      <c r="D103" s="238">
        <v>41.5</v>
      </c>
      <c r="E103" s="238">
        <v>41.5</v>
      </c>
      <c r="F103" s="183">
        <f t="shared" si="6"/>
        <v>48</v>
      </c>
      <c r="G103" s="238">
        <v>12</v>
      </c>
      <c r="H103" s="238">
        <v>12</v>
      </c>
      <c r="I103" s="238">
        <v>12</v>
      </c>
      <c r="J103" s="238">
        <v>12</v>
      </c>
      <c r="K103" s="86"/>
    </row>
    <row r="104" spans="1:11" s="1" customFormat="1">
      <c r="A104" s="103" t="s">
        <v>1205</v>
      </c>
      <c r="B104" s="116" t="s">
        <v>500</v>
      </c>
      <c r="C104" s="208">
        <v>21.5</v>
      </c>
      <c r="D104" s="238">
        <v>34</v>
      </c>
      <c r="E104" s="238">
        <v>34</v>
      </c>
      <c r="F104" s="183">
        <f t="shared" si="6"/>
        <v>38</v>
      </c>
      <c r="G104" s="238">
        <v>8</v>
      </c>
      <c r="H104" s="238">
        <v>9</v>
      </c>
      <c r="I104" s="238">
        <v>10</v>
      </c>
      <c r="J104" s="238">
        <v>11</v>
      </c>
      <c r="K104" s="86"/>
    </row>
    <row r="105" spans="1:11" s="1" customFormat="1">
      <c r="A105" s="103" t="s">
        <v>1187</v>
      </c>
      <c r="B105" s="116" t="s">
        <v>501</v>
      </c>
      <c r="C105" s="208">
        <v>76.3</v>
      </c>
      <c r="D105" s="238">
        <v>84</v>
      </c>
      <c r="E105" s="238">
        <v>84</v>
      </c>
      <c r="F105" s="183">
        <f t="shared" si="6"/>
        <v>88</v>
      </c>
      <c r="G105" s="238">
        <v>22</v>
      </c>
      <c r="H105" s="238">
        <v>22</v>
      </c>
      <c r="I105" s="238">
        <v>22</v>
      </c>
      <c r="J105" s="238">
        <v>22</v>
      </c>
      <c r="K105" s="86"/>
    </row>
    <row r="106" spans="1:11" s="1" customFormat="1">
      <c r="A106" s="103" t="s">
        <v>482</v>
      </c>
      <c r="B106" s="116" t="s">
        <v>502</v>
      </c>
      <c r="C106" s="208">
        <f>2.4+1.4+0.8</f>
        <v>4.5999999999999996</v>
      </c>
      <c r="D106" s="238">
        <v>13.2</v>
      </c>
      <c r="E106" s="238">
        <v>13.2</v>
      </c>
      <c r="F106" s="183">
        <f t="shared" si="6"/>
        <v>14</v>
      </c>
      <c r="G106" s="238">
        <v>3.5</v>
      </c>
      <c r="H106" s="238">
        <v>3.5</v>
      </c>
      <c r="I106" s="238">
        <v>3.5</v>
      </c>
      <c r="J106" s="238">
        <v>3.5</v>
      </c>
      <c r="K106" s="86"/>
    </row>
    <row r="107" spans="1:11" s="1" customFormat="1">
      <c r="A107" s="103" t="s">
        <v>1177</v>
      </c>
      <c r="B107" s="116" t="s">
        <v>503</v>
      </c>
      <c r="C107" s="208">
        <f>0.5+1.5+1.7+0.3+0.1+3.6-0.1</f>
        <v>7.6</v>
      </c>
      <c r="D107" s="238">
        <v>16</v>
      </c>
      <c r="E107" s="238">
        <v>16</v>
      </c>
      <c r="F107" s="183">
        <f t="shared" si="6"/>
        <v>20</v>
      </c>
      <c r="G107" s="238">
        <v>5</v>
      </c>
      <c r="H107" s="238">
        <v>5</v>
      </c>
      <c r="I107" s="238">
        <v>5</v>
      </c>
      <c r="J107" s="238">
        <v>5</v>
      </c>
      <c r="K107" s="86"/>
    </row>
    <row r="108" spans="1:11" s="1" customFormat="1">
      <c r="A108" s="103" t="s">
        <v>1297</v>
      </c>
      <c r="B108" s="116" t="s">
        <v>504</v>
      </c>
      <c r="C108" s="238"/>
      <c r="D108" s="238">
        <v>422</v>
      </c>
      <c r="E108" s="238">
        <v>200</v>
      </c>
      <c r="F108" s="183">
        <f t="shared" si="6"/>
        <v>422</v>
      </c>
      <c r="G108" s="238">
        <v>105.5</v>
      </c>
      <c r="H108" s="238">
        <v>105.5</v>
      </c>
      <c r="I108" s="238">
        <v>105.5</v>
      </c>
      <c r="J108" s="238">
        <v>105.5</v>
      </c>
      <c r="K108" s="86"/>
    </row>
    <row r="109" spans="1:11" s="1" customFormat="1" ht="38.25" customHeight="1">
      <c r="A109" s="337" t="s">
        <v>744</v>
      </c>
      <c r="B109" s="117">
        <v>1080</v>
      </c>
      <c r="C109" s="231">
        <f>SUM(C110:C115)</f>
        <v>8714.9874999999993</v>
      </c>
      <c r="D109" s="231">
        <f t="shared" ref="D109:J109" si="8">SUM(D110:D115)</f>
        <v>5289.971428571429</v>
      </c>
      <c r="E109" s="231">
        <f t="shared" si="8"/>
        <v>6652.7714285714292</v>
      </c>
      <c r="F109" s="231">
        <f>SUM(G109:J109)</f>
        <v>4541.8999999999996</v>
      </c>
      <c r="G109" s="231">
        <f t="shared" si="8"/>
        <v>981.10000000000014</v>
      </c>
      <c r="H109" s="231">
        <f t="shared" si="8"/>
        <v>1155.6999999999998</v>
      </c>
      <c r="I109" s="231">
        <f t="shared" si="8"/>
        <v>1294.3999999999999</v>
      </c>
      <c r="J109" s="231">
        <f t="shared" si="8"/>
        <v>1110.6999999999998</v>
      </c>
      <c r="K109" s="86"/>
    </row>
    <row r="110" spans="1:11" s="1" customFormat="1" ht="21" customHeight="1">
      <c r="A110" s="103" t="s">
        <v>732</v>
      </c>
      <c r="B110" s="116">
        <v>1081</v>
      </c>
      <c r="C110" s="238">
        <v>0</v>
      </c>
      <c r="D110" s="238">
        <v>0</v>
      </c>
      <c r="E110" s="238">
        <v>0</v>
      </c>
      <c r="F110" s="183">
        <f t="shared" si="6"/>
        <v>0</v>
      </c>
      <c r="G110" s="238">
        <v>0</v>
      </c>
      <c r="H110" s="238">
        <v>0</v>
      </c>
      <c r="I110" s="238">
        <v>0</v>
      </c>
      <c r="J110" s="238">
        <v>0</v>
      </c>
      <c r="K110" s="86"/>
    </row>
    <row r="111" spans="1:11" s="1" customFormat="1" ht="30.75" customHeight="1">
      <c r="A111" s="103" t="s">
        <v>712</v>
      </c>
      <c r="B111" s="116">
        <v>1082</v>
      </c>
      <c r="C111" s="238">
        <v>0</v>
      </c>
      <c r="D111" s="238">
        <v>0</v>
      </c>
      <c r="E111" s="238">
        <v>0</v>
      </c>
      <c r="F111" s="183">
        <f t="shared" si="6"/>
        <v>0</v>
      </c>
      <c r="G111" s="238">
        <v>0</v>
      </c>
      <c r="H111" s="238">
        <v>0</v>
      </c>
      <c r="I111" s="238">
        <v>0</v>
      </c>
      <c r="J111" s="238">
        <v>0</v>
      </c>
      <c r="K111" s="86"/>
    </row>
    <row r="112" spans="1:11" s="1" customFormat="1" ht="30.75" customHeight="1">
      <c r="A112" s="103" t="s">
        <v>721</v>
      </c>
      <c r="B112" s="116">
        <v>1083</v>
      </c>
      <c r="C112" s="238">
        <v>0</v>
      </c>
      <c r="D112" s="238">
        <v>0</v>
      </c>
      <c r="E112" s="238">
        <v>0</v>
      </c>
      <c r="F112" s="183">
        <f t="shared" si="6"/>
        <v>0</v>
      </c>
      <c r="G112" s="238">
        <v>0</v>
      </c>
      <c r="H112" s="238">
        <v>0</v>
      </c>
      <c r="I112" s="238">
        <v>0</v>
      </c>
      <c r="J112" s="238">
        <v>0</v>
      </c>
      <c r="K112" s="86"/>
    </row>
    <row r="113" spans="1:12" s="1" customFormat="1" ht="18" customHeight="1">
      <c r="A113" s="103" t="s">
        <v>852</v>
      </c>
      <c r="B113" s="116">
        <v>1084</v>
      </c>
      <c r="C113" s="238">
        <v>0</v>
      </c>
      <c r="D113" s="238">
        <v>0</v>
      </c>
      <c r="E113" s="238">
        <v>0</v>
      </c>
      <c r="F113" s="183">
        <f t="shared" si="6"/>
        <v>0</v>
      </c>
      <c r="G113" s="238">
        <v>0</v>
      </c>
      <c r="H113" s="238">
        <v>0</v>
      </c>
      <c r="I113" s="238">
        <v>0</v>
      </c>
      <c r="J113" s="238">
        <v>0</v>
      </c>
      <c r="K113" s="86"/>
    </row>
    <row r="114" spans="1:12" s="1" customFormat="1" ht="18" hidden="1" customHeight="1">
      <c r="A114" s="103"/>
      <c r="B114" s="116"/>
      <c r="C114" s="238"/>
      <c r="D114" s="238"/>
      <c r="E114" s="238" t="s">
        <v>935</v>
      </c>
      <c r="F114" s="183">
        <f t="shared" si="6"/>
        <v>0</v>
      </c>
      <c r="G114" s="238"/>
      <c r="H114" s="238"/>
      <c r="I114" s="238"/>
      <c r="J114" s="238"/>
      <c r="K114" s="86"/>
    </row>
    <row r="115" spans="1:12" s="1" customFormat="1" ht="33.75" customHeight="1">
      <c r="A115" s="103" t="s">
        <v>868</v>
      </c>
      <c r="B115" s="116">
        <v>1085</v>
      </c>
      <c r="C115" s="208">
        <f>SUM(C116:C152)-C138-C139</f>
        <v>8714.9874999999993</v>
      </c>
      <c r="D115" s="208">
        <f>SUM(D116:D152)-D138-D139</f>
        <v>5289.971428571429</v>
      </c>
      <c r="E115" s="208">
        <f>SUM(E116:E152)-E138-E139</f>
        <v>6652.7714285714292</v>
      </c>
      <c r="F115" s="183">
        <f t="shared" si="6"/>
        <v>4541.8999999999996</v>
      </c>
      <c r="G115" s="208">
        <f>SUM(G116:G152)-G138-G139</f>
        <v>981.10000000000014</v>
      </c>
      <c r="H115" s="208">
        <f>SUM(H116:H152)-H138-H139</f>
        <v>1155.6999999999998</v>
      </c>
      <c r="I115" s="208">
        <f>SUM(I116:I152)-I138-I139</f>
        <v>1294.3999999999999</v>
      </c>
      <c r="J115" s="208">
        <f>SUM(J116:J152)-J138-J139</f>
        <v>1110.6999999999998</v>
      </c>
      <c r="K115" s="86"/>
    </row>
    <row r="116" spans="1:12" s="1" customFormat="1">
      <c r="A116" s="103" t="s">
        <v>700</v>
      </c>
      <c r="B116" s="254" t="s">
        <v>1217</v>
      </c>
      <c r="C116" s="208">
        <f>1950.1-941.1-59.7-21.3-21.5-13.5-180.3-198.5-66.5-96.5+202.7</f>
        <v>553.89999999999986</v>
      </c>
      <c r="D116" s="238">
        <v>92</v>
      </c>
      <c r="E116" s="208">
        <v>510</v>
      </c>
      <c r="F116" s="183">
        <f t="shared" si="6"/>
        <v>446.20000000000005</v>
      </c>
      <c r="G116" s="238">
        <f ca="1">'дод 1 до поясн Розрахунок ФОП'!Y416</f>
        <v>80.5</v>
      </c>
      <c r="H116" s="238">
        <f ca="1">'дод 1 до поясн Розрахунок ФОП'!Y417</f>
        <v>80.5</v>
      </c>
      <c r="I116" s="238">
        <f ca="1">'дод 1 до поясн Розрахунок ФОП'!Y418</f>
        <v>142.6</v>
      </c>
      <c r="J116" s="238">
        <f ca="1">'дод 1 до поясн Розрахунок ФОП'!Y419</f>
        <v>142.6</v>
      </c>
      <c r="K116" s="86"/>
      <c r="L116" s="1">
        <v>20.22</v>
      </c>
    </row>
    <row r="117" spans="1:12" s="1" customFormat="1">
      <c r="A117" s="103" t="s">
        <v>701</v>
      </c>
      <c r="B117" s="254" t="s">
        <v>1218</v>
      </c>
      <c r="C117" s="208">
        <f>856.7-429.3-8-8.1-22.6-4-102.6-99.6-52.5+68</f>
        <v>198.00000000000003</v>
      </c>
      <c r="D117" s="238">
        <v>20.2</v>
      </c>
      <c r="E117" s="208">
        <v>316</v>
      </c>
      <c r="F117" s="183">
        <f t="shared" si="6"/>
        <v>98.199999999999989</v>
      </c>
      <c r="G117" s="238">
        <f>ROUND(G116*0.22,1)</f>
        <v>17.7</v>
      </c>
      <c r="H117" s="238">
        <f>ROUND(H116*0.22,1)</f>
        <v>17.7</v>
      </c>
      <c r="I117" s="238">
        <f>ROUND(I116*0.22,1)</f>
        <v>31.4</v>
      </c>
      <c r="J117" s="238">
        <f>ROUND(J116*0.22,1)</f>
        <v>31.4</v>
      </c>
      <c r="K117" s="86"/>
    </row>
    <row r="118" spans="1:12" s="1" customFormat="1">
      <c r="A118" s="103" t="s">
        <v>835</v>
      </c>
      <c r="B118" s="254" t="s">
        <v>1219</v>
      </c>
      <c r="C118" s="208">
        <f>80.8-0.1</f>
        <v>80.7</v>
      </c>
      <c r="D118" s="238">
        <v>82</v>
      </c>
      <c r="E118" s="208">
        <v>82</v>
      </c>
      <c r="F118" s="183">
        <f t="shared" si="6"/>
        <v>82</v>
      </c>
      <c r="G118" s="238">
        <v>20.5</v>
      </c>
      <c r="H118" s="238">
        <v>20.5</v>
      </c>
      <c r="I118" s="238">
        <v>20.5</v>
      </c>
      <c r="J118" s="238">
        <v>20.5</v>
      </c>
      <c r="K118" s="86"/>
    </row>
    <row r="119" spans="1:12" s="1" customFormat="1">
      <c r="A119" s="103" t="s">
        <v>1220</v>
      </c>
      <c r="B119" s="254" t="s">
        <v>1221</v>
      </c>
      <c r="C119" s="208">
        <f>22.5+5.7+5.7</f>
        <v>33.9</v>
      </c>
      <c r="D119" s="238">
        <v>40</v>
      </c>
      <c r="E119" s="208">
        <v>30</v>
      </c>
      <c r="F119" s="183">
        <f t="shared" si="6"/>
        <v>40</v>
      </c>
      <c r="G119" s="238">
        <v>10</v>
      </c>
      <c r="H119" s="238">
        <v>10</v>
      </c>
      <c r="I119" s="238">
        <v>10</v>
      </c>
      <c r="J119" s="238">
        <v>10</v>
      </c>
      <c r="K119" s="86"/>
    </row>
    <row r="120" spans="1:12" s="1" customFormat="1">
      <c r="A120" s="103" t="s">
        <v>1222</v>
      </c>
      <c r="B120" s="254" t="s">
        <v>1223</v>
      </c>
      <c r="C120" s="208">
        <f>119.4+60.3</f>
        <v>179.7</v>
      </c>
      <c r="D120" s="238">
        <v>90</v>
      </c>
      <c r="E120" s="208">
        <v>130</v>
      </c>
      <c r="F120" s="183">
        <f t="shared" si="6"/>
        <v>300</v>
      </c>
      <c r="G120" s="238"/>
      <c r="H120" s="238">
        <v>100</v>
      </c>
      <c r="I120" s="238">
        <v>100</v>
      </c>
      <c r="J120" s="238">
        <v>100</v>
      </c>
      <c r="K120" s="86"/>
    </row>
    <row r="121" spans="1:12" s="1" customFormat="1" ht="31.5">
      <c r="A121" s="103" t="s">
        <v>1224</v>
      </c>
      <c r="B121" s="254" t="s">
        <v>1225</v>
      </c>
      <c r="C121" s="208">
        <v>76.2</v>
      </c>
      <c r="D121" s="238">
        <v>95</v>
      </c>
      <c r="E121" s="208">
        <f>E46</f>
        <v>200</v>
      </c>
      <c r="F121" s="183">
        <f t="shared" si="6"/>
        <v>200</v>
      </c>
      <c r="G121" s="238">
        <f>G46</f>
        <v>50</v>
      </c>
      <c r="H121" s="238">
        <f>H46</f>
        <v>50</v>
      </c>
      <c r="I121" s="238">
        <f>I46</f>
        <v>50</v>
      </c>
      <c r="J121" s="238">
        <f>J46</f>
        <v>50</v>
      </c>
      <c r="K121" s="86"/>
    </row>
    <row r="122" spans="1:12" s="1" customFormat="1" ht="31.5">
      <c r="A122" s="103" t="s">
        <v>1226</v>
      </c>
      <c r="B122" s="254" t="s">
        <v>1227</v>
      </c>
      <c r="C122" s="208">
        <v>331.7</v>
      </c>
      <c r="D122" s="238">
        <v>548.57142857142856</v>
      </c>
      <c r="E122" s="238">
        <f>E49/1.12</f>
        <v>548.57142857142856</v>
      </c>
      <c r="F122" s="183">
        <f t="shared" si="6"/>
        <v>644.9</v>
      </c>
      <c r="G122" s="238">
        <v>0</v>
      </c>
      <c r="H122" s="238">
        <f>110.8+89.9+20.8+77.1</f>
        <v>298.60000000000002</v>
      </c>
      <c r="I122" s="238">
        <f>110.8+110.8+110.8-1.9</f>
        <v>330.5</v>
      </c>
      <c r="J122" s="238">
        <f>J49</f>
        <v>15.8</v>
      </c>
      <c r="K122" s="86"/>
    </row>
    <row r="123" spans="1:12" s="1" customFormat="1">
      <c r="A123" s="103" t="s">
        <v>1228</v>
      </c>
      <c r="B123" s="254" t="s">
        <v>1229</v>
      </c>
      <c r="C123" s="208">
        <f>608.3+(201.6-21.3+102.6)+(219.9-21.4+99.6)</f>
        <v>1189.3</v>
      </c>
      <c r="D123" s="238">
        <v>1100</v>
      </c>
      <c r="E123" s="208">
        <v>1100</v>
      </c>
      <c r="F123" s="183">
        <f t="shared" si="6"/>
        <v>1100</v>
      </c>
      <c r="G123" s="238">
        <v>250</v>
      </c>
      <c r="H123" s="238">
        <v>250</v>
      </c>
      <c r="I123" s="238">
        <v>300</v>
      </c>
      <c r="J123" s="238">
        <v>300</v>
      </c>
      <c r="K123" s="86"/>
    </row>
    <row r="124" spans="1:12" s="1" customFormat="1">
      <c r="A124" s="103" t="s">
        <v>1230</v>
      </c>
      <c r="B124" s="254" t="s">
        <v>1231</v>
      </c>
      <c r="C124" s="208">
        <f>101.9+109</f>
        <v>210.9</v>
      </c>
      <c r="D124" s="238">
        <v>212</v>
      </c>
      <c r="E124" s="208">
        <v>212</v>
      </c>
      <c r="F124" s="183">
        <f t="shared" si="6"/>
        <v>229</v>
      </c>
      <c r="G124" s="238">
        <v>55</v>
      </c>
      <c r="H124" s="238">
        <v>56</v>
      </c>
      <c r="I124" s="238">
        <v>58</v>
      </c>
      <c r="J124" s="238">
        <v>60</v>
      </c>
      <c r="K124" s="86"/>
    </row>
    <row r="125" spans="1:12" s="1" customFormat="1">
      <c r="A125" s="103" t="s">
        <v>1232</v>
      </c>
      <c r="B125" s="254" t="s">
        <v>1233</v>
      </c>
      <c r="C125" s="208">
        <f>35.1+41.8+33.8</f>
        <v>110.7</v>
      </c>
      <c r="D125" s="238">
        <v>100</v>
      </c>
      <c r="E125" s="208">
        <v>100</v>
      </c>
      <c r="F125" s="183">
        <f t="shared" si="6"/>
        <v>110</v>
      </c>
      <c r="G125" s="238">
        <v>26</v>
      </c>
      <c r="H125" s="238">
        <v>26</v>
      </c>
      <c r="I125" s="238">
        <v>28</v>
      </c>
      <c r="J125" s="238">
        <v>30</v>
      </c>
      <c r="K125" s="86"/>
    </row>
    <row r="126" spans="1:12" s="1" customFormat="1">
      <c r="A126" s="103" t="s">
        <v>1216</v>
      </c>
      <c r="B126" s="254" t="s">
        <v>1234</v>
      </c>
      <c r="C126" s="208">
        <f>27.2+99.5</f>
        <v>126.7</v>
      </c>
      <c r="D126" s="238">
        <v>104</v>
      </c>
      <c r="E126" s="208">
        <v>142</v>
      </c>
      <c r="F126" s="183">
        <f t="shared" si="6"/>
        <v>150</v>
      </c>
      <c r="G126" s="238">
        <v>30</v>
      </c>
      <c r="H126" s="238">
        <v>35</v>
      </c>
      <c r="I126" s="238">
        <v>40</v>
      </c>
      <c r="J126" s="238">
        <v>45</v>
      </c>
      <c r="K126" s="86"/>
    </row>
    <row r="127" spans="1:12" s="1" customFormat="1">
      <c r="A127" s="103" t="s">
        <v>1235</v>
      </c>
      <c r="B127" s="254" t="s">
        <v>1236</v>
      </c>
      <c r="C127" s="208">
        <f>148.7+231.8</f>
        <v>380.5</v>
      </c>
      <c r="D127" s="238">
        <v>420</v>
      </c>
      <c r="E127" s="208">
        <v>420</v>
      </c>
      <c r="F127" s="183">
        <f t="shared" si="6"/>
        <v>490</v>
      </c>
      <c r="G127" s="238">
        <f>G51</f>
        <v>270</v>
      </c>
      <c r="H127" s="238">
        <f>H51</f>
        <v>70</v>
      </c>
      <c r="I127" s="238">
        <f>I51</f>
        <v>30</v>
      </c>
      <c r="J127" s="238">
        <f>J51</f>
        <v>120</v>
      </c>
      <c r="K127" s="86"/>
    </row>
    <row r="128" spans="1:12" s="1" customFormat="1">
      <c r="A128" s="103" t="s">
        <v>1237</v>
      </c>
      <c r="B128" s="254" t="s">
        <v>1238</v>
      </c>
      <c r="C128" s="208">
        <f>442.9+(66+96.5)*1.323</f>
        <v>657.88749999999993</v>
      </c>
      <c r="D128" s="238">
        <v>0</v>
      </c>
      <c r="E128" s="208">
        <v>604</v>
      </c>
      <c r="F128" s="183">
        <f t="shared" si="6"/>
        <v>0</v>
      </c>
      <c r="G128" s="238">
        <v>0</v>
      </c>
      <c r="H128" s="238">
        <v>0</v>
      </c>
      <c r="I128" s="238">
        <v>0</v>
      </c>
      <c r="J128" s="238">
        <v>0</v>
      </c>
      <c r="K128" s="86"/>
    </row>
    <row r="129" spans="1:11" s="1" customFormat="1">
      <c r="A129" s="103" t="s">
        <v>1180</v>
      </c>
      <c r="B129" s="254" t="s">
        <v>1239</v>
      </c>
      <c r="C129" s="208">
        <f>3.7+7+25.8</f>
        <v>36.5</v>
      </c>
      <c r="D129" s="238">
        <v>40</v>
      </c>
      <c r="E129" s="208">
        <v>52</v>
      </c>
      <c r="F129" s="183">
        <f t="shared" si="6"/>
        <v>62</v>
      </c>
      <c r="G129" s="238">
        <v>30</v>
      </c>
      <c r="H129" s="238">
        <v>0</v>
      </c>
      <c r="I129" s="238">
        <v>0</v>
      </c>
      <c r="J129" s="238">
        <v>32</v>
      </c>
      <c r="K129" s="86"/>
    </row>
    <row r="130" spans="1:11" s="1" customFormat="1" ht="63">
      <c r="A130" s="103" t="s">
        <v>489</v>
      </c>
      <c r="B130" s="254" t="s">
        <v>1240</v>
      </c>
      <c r="C130" s="208">
        <f>85.1+100.4</f>
        <v>185.5</v>
      </c>
      <c r="D130" s="238">
        <v>160</v>
      </c>
      <c r="E130" s="208">
        <v>260</v>
      </c>
      <c r="F130" s="183">
        <f t="shared" si="6"/>
        <v>260</v>
      </c>
      <c r="G130" s="238">
        <v>60</v>
      </c>
      <c r="H130" s="238">
        <v>60</v>
      </c>
      <c r="I130" s="238">
        <v>70</v>
      </c>
      <c r="J130" s="238">
        <v>70</v>
      </c>
      <c r="K130" s="86"/>
    </row>
    <row r="131" spans="1:11" s="1" customFormat="1">
      <c r="A131" s="103" t="s">
        <v>1188</v>
      </c>
      <c r="B131" s="254" t="s">
        <v>1241</v>
      </c>
      <c r="C131" s="238">
        <v>0</v>
      </c>
      <c r="D131" s="238">
        <v>8</v>
      </c>
      <c r="E131" s="208">
        <v>8</v>
      </c>
      <c r="F131" s="183">
        <f t="shared" si="6"/>
        <v>10</v>
      </c>
      <c r="G131" s="238">
        <v>2.5</v>
      </c>
      <c r="H131" s="238">
        <v>2.5</v>
      </c>
      <c r="I131" s="238">
        <v>2.5</v>
      </c>
      <c r="J131" s="238">
        <v>2.5</v>
      </c>
      <c r="K131" s="86"/>
    </row>
    <row r="132" spans="1:11" s="1" customFormat="1" ht="31.5">
      <c r="A132" s="103" t="s">
        <v>485</v>
      </c>
      <c r="B132" s="254" t="s">
        <v>1242</v>
      </c>
      <c r="C132" s="208">
        <f>12+22</f>
        <v>34</v>
      </c>
      <c r="D132" s="238">
        <v>30</v>
      </c>
      <c r="E132" s="208">
        <v>30</v>
      </c>
      <c r="F132" s="183">
        <f t="shared" si="6"/>
        <v>30</v>
      </c>
      <c r="G132" s="238">
        <v>7.5</v>
      </c>
      <c r="H132" s="238">
        <v>7.5</v>
      </c>
      <c r="I132" s="238">
        <v>7.5</v>
      </c>
      <c r="J132" s="238">
        <v>7.5</v>
      </c>
      <c r="K132" s="86"/>
    </row>
    <row r="133" spans="1:11" s="1" customFormat="1">
      <c r="A133" s="103" t="s">
        <v>1243</v>
      </c>
      <c r="B133" s="254" t="s">
        <v>1244</v>
      </c>
      <c r="C133" s="208">
        <f>15.9+15.6</f>
        <v>31.5</v>
      </c>
      <c r="D133" s="238">
        <v>36</v>
      </c>
      <c r="E133" s="208">
        <v>36</v>
      </c>
      <c r="F133" s="183">
        <f t="shared" si="6"/>
        <v>36</v>
      </c>
      <c r="G133" s="238">
        <v>9</v>
      </c>
      <c r="H133" s="238">
        <v>9</v>
      </c>
      <c r="I133" s="238">
        <v>9</v>
      </c>
      <c r="J133" s="238">
        <v>9</v>
      </c>
      <c r="K133" s="86"/>
    </row>
    <row r="134" spans="1:11" s="1" customFormat="1" ht="31.5">
      <c r="A134" s="103" t="s">
        <v>484</v>
      </c>
      <c r="B134" s="254" t="s">
        <v>1245</v>
      </c>
      <c r="C134" s="208">
        <f>4.1+6.5</f>
        <v>10.6</v>
      </c>
      <c r="D134" s="238">
        <v>16</v>
      </c>
      <c r="E134" s="208">
        <v>16</v>
      </c>
      <c r="F134" s="183">
        <f t="shared" si="6"/>
        <v>16</v>
      </c>
      <c r="G134" s="238">
        <v>4</v>
      </c>
      <c r="H134" s="238">
        <v>4</v>
      </c>
      <c r="I134" s="238">
        <v>4</v>
      </c>
      <c r="J134" s="238">
        <v>4</v>
      </c>
      <c r="K134" s="86"/>
    </row>
    <row r="135" spans="1:11" s="1" customFormat="1">
      <c r="A135" s="103" t="s">
        <v>1205</v>
      </c>
      <c r="B135" s="255" t="s">
        <v>1246</v>
      </c>
      <c r="C135" s="208">
        <f>28.9+12</f>
        <v>40.9</v>
      </c>
      <c r="D135" s="238">
        <v>40</v>
      </c>
      <c r="E135" s="208">
        <v>40</v>
      </c>
      <c r="F135" s="183">
        <f t="shared" si="6"/>
        <v>44</v>
      </c>
      <c r="G135" s="238">
        <v>10</v>
      </c>
      <c r="H135" s="238">
        <v>10</v>
      </c>
      <c r="I135" s="238">
        <v>12</v>
      </c>
      <c r="J135" s="238">
        <v>12</v>
      </c>
      <c r="K135" s="86"/>
    </row>
    <row r="136" spans="1:11" s="1" customFormat="1">
      <c r="A136" s="103" t="s">
        <v>481</v>
      </c>
      <c r="B136" s="255" t="s">
        <v>1247</v>
      </c>
      <c r="C136" s="208">
        <f>11.3+11.1</f>
        <v>22.4</v>
      </c>
      <c r="D136" s="238">
        <v>36</v>
      </c>
      <c r="E136" s="208">
        <v>36</v>
      </c>
      <c r="F136" s="183">
        <f t="shared" si="6"/>
        <v>40</v>
      </c>
      <c r="G136" s="238">
        <v>10</v>
      </c>
      <c r="H136" s="238">
        <v>10</v>
      </c>
      <c r="I136" s="238">
        <v>10</v>
      </c>
      <c r="J136" s="238">
        <v>10</v>
      </c>
      <c r="K136" s="86"/>
    </row>
    <row r="137" spans="1:11" s="1" customFormat="1">
      <c r="A137" s="103" t="s">
        <v>495</v>
      </c>
      <c r="B137" s="255" t="s">
        <v>1248</v>
      </c>
      <c r="C137" s="208">
        <f>C138+C139</f>
        <v>99.600000000000009</v>
      </c>
      <c r="D137" s="238">
        <v>212</v>
      </c>
      <c r="E137" s="208">
        <f>E138+E139</f>
        <v>162</v>
      </c>
      <c r="F137" s="183">
        <f t="shared" si="6"/>
        <v>16</v>
      </c>
      <c r="G137" s="208">
        <f>G138+G139</f>
        <v>4</v>
      </c>
      <c r="H137" s="208">
        <f>H138+H139</f>
        <v>4</v>
      </c>
      <c r="I137" s="208">
        <f>I138+I139</f>
        <v>4</v>
      </c>
      <c r="J137" s="208">
        <f>J138+J139</f>
        <v>4</v>
      </c>
      <c r="K137" s="86"/>
    </row>
    <row r="138" spans="1:11" s="1" customFormat="1">
      <c r="A138" s="103" t="s">
        <v>1249</v>
      </c>
      <c r="B138" s="255" t="s">
        <v>1250</v>
      </c>
      <c r="C138" s="208">
        <f>2.4+3</f>
        <v>5.4</v>
      </c>
      <c r="D138" s="238">
        <v>12</v>
      </c>
      <c r="E138" s="208">
        <v>12</v>
      </c>
      <c r="F138" s="183">
        <f t="shared" si="6"/>
        <v>16</v>
      </c>
      <c r="G138" s="238">
        <v>4</v>
      </c>
      <c r="H138" s="238">
        <v>4</v>
      </c>
      <c r="I138" s="238">
        <v>4</v>
      </c>
      <c r="J138" s="238">
        <v>4</v>
      </c>
      <c r="K138" s="86"/>
    </row>
    <row r="139" spans="1:11" s="1" customFormat="1" ht="31.5">
      <c r="A139" s="103" t="s">
        <v>1252</v>
      </c>
      <c r="B139" s="255" t="s">
        <v>1251</v>
      </c>
      <c r="C139" s="208">
        <v>94.2</v>
      </c>
      <c r="D139" s="238">
        <v>200</v>
      </c>
      <c r="E139" s="208">
        <v>150</v>
      </c>
      <c r="F139" s="183">
        <f t="shared" si="6"/>
        <v>0</v>
      </c>
      <c r="G139" s="238"/>
      <c r="H139" s="238"/>
      <c r="I139" s="238"/>
      <c r="J139" s="238"/>
      <c r="K139" s="86"/>
    </row>
    <row r="140" spans="1:11" s="1" customFormat="1" ht="31.5">
      <c r="A140" s="103" t="s">
        <v>1253</v>
      </c>
      <c r="B140" s="255" t="s">
        <v>1254</v>
      </c>
      <c r="C140" s="208">
        <f>0.2+244.4+0.5+3527.6</f>
        <v>3772.7</v>
      </c>
      <c r="D140" s="238">
        <v>440</v>
      </c>
      <c r="E140" s="208">
        <v>200</v>
      </c>
      <c r="F140" s="183">
        <f t="shared" si="6"/>
        <v>0</v>
      </c>
      <c r="G140" s="238"/>
      <c r="H140" s="238"/>
      <c r="I140" s="238"/>
      <c r="J140" s="238"/>
      <c r="K140" s="86"/>
    </row>
    <row r="141" spans="1:11" s="1" customFormat="1" ht="38.25" customHeight="1">
      <c r="A141" s="103" t="s">
        <v>1255</v>
      </c>
      <c r="B141" s="255" t="s">
        <v>1256</v>
      </c>
      <c r="C141" s="208">
        <v>65</v>
      </c>
      <c r="D141" s="238">
        <v>0</v>
      </c>
      <c r="E141" s="208">
        <v>50</v>
      </c>
      <c r="F141" s="183">
        <f t="shared" si="6"/>
        <v>0</v>
      </c>
      <c r="G141" s="238"/>
      <c r="H141" s="238"/>
      <c r="I141" s="238"/>
      <c r="J141" s="238"/>
      <c r="K141" s="86"/>
    </row>
    <row r="142" spans="1:11" s="1" customFormat="1">
      <c r="A142" s="103" t="s">
        <v>1257</v>
      </c>
      <c r="B142" s="255" t="s">
        <v>1258</v>
      </c>
      <c r="C142" s="238"/>
      <c r="D142" s="238">
        <v>0</v>
      </c>
      <c r="E142" s="208"/>
      <c r="F142" s="183">
        <f t="shared" si="6"/>
        <v>0</v>
      </c>
      <c r="G142" s="238"/>
      <c r="H142" s="238"/>
      <c r="I142" s="238"/>
      <c r="J142" s="238"/>
      <c r="K142" s="86"/>
    </row>
    <row r="143" spans="1:11" s="1" customFormat="1">
      <c r="A143" s="103" t="s">
        <v>1259</v>
      </c>
      <c r="B143" s="255" t="s">
        <v>1260</v>
      </c>
      <c r="C143" s="208">
        <v>9</v>
      </c>
      <c r="D143" s="238">
        <v>0</v>
      </c>
      <c r="E143" s="208">
        <v>0</v>
      </c>
      <c r="F143" s="183">
        <f t="shared" si="6"/>
        <v>0</v>
      </c>
      <c r="G143" s="238"/>
      <c r="H143" s="238"/>
      <c r="I143" s="238"/>
      <c r="J143" s="238"/>
      <c r="K143" s="86"/>
    </row>
    <row r="144" spans="1:11" s="1" customFormat="1">
      <c r="A144" s="103" t="s">
        <v>1182</v>
      </c>
      <c r="B144" s="255" t="s">
        <v>1261</v>
      </c>
      <c r="C144" s="208">
        <f>6.4+6.7+91</f>
        <v>104.1</v>
      </c>
      <c r="D144" s="238">
        <v>16</v>
      </c>
      <c r="E144" s="208">
        <v>16</v>
      </c>
      <c r="F144" s="183">
        <f t="shared" si="6"/>
        <v>20</v>
      </c>
      <c r="G144" s="238">
        <v>5</v>
      </c>
      <c r="H144" s="238">
        <v>5</v>
      </c>
      <c r="I144" s="238">
        <v>5</v>
      </c>
      <c r="J144" s="238">
        <v>5</v>
      </c>
      <c r="K144" s="86"/>
    </row>
    <row r="145" spans="1:11" s="1" customFormat="1" ht="31.5">
      <c r="A145" s="103" t="s">
        <v>488</v>
      </c>
      <c r="B145" s="255" t="s">
        <v>1262</v>
      </c>
      <c r="C145" s="208">
        <v>1.6</v>
      </c>
      <c r="D145" s="238">
        <v>2.8</v>
      </c>
      <c r="E145" s="208">
        <v>2.8</v>
      </c>
      <c r="F145" s="183">
        <f t="shared" ref="F145:F152" si="9">SUM(G145:J145)</f>
        <v>4</v>
      </c>
      <c r="G145" s="238">
        <v>1</v>
      </c>
      <c r="H145" s="238">
        <v>1</v>
      </c>
      <c r="I145" s="238">
        <v>1</v>
      </c>
      <c r="J145" s="238">
        <v>1</v>
      </c>
      <c r="K145" s="86"/>
    </row>
    <row r="146" spans="1:11" s="1" customFormat="1">
      <c r="A146" s="103" t="s">
        <v>1263</v>
      </c>
      <c r="B146" s="255" t="s">
        <v>1264</v>
      </c>
      <c r="C146" s="208">
        <v>4.9000000000000004</v>
      </c>
      <c r="D146" s="238">
        <v>8</v>
      </c>
      <c r="E146" s="208">
        <v>8</v>
      </c>
      <c r="F146" s="183">
        <f t="shared" si="9"/>
        <v>8.4</v>
      </c>
      <c r="G146" s="238">
        <v>2.1</v>
      </c>
      <c r="H146" s="238">
        <v>2.1</v>
      </c>
      <c r="I146" s="238">
        <v>2.1</v>
      </c>
      <c r="J146" s="238">
        <v>2.1</v>
      </c>
      <c r="K146" s="86"/>
    </row>
    <row r="147" spans="1:11" s="1" customFormat="1">
      <c r="A147" s="103" t="s">
        <v>1265</v>
      </c>
      <c r="B147" s="255" t="s">
        <v>1266</v>
      </c>
      <c r="C147" s="208"/>
      <c r="D147" s="238">
        <v>1.6</v>
      </c>
      <c r="E147" s="208">
        <v>1.6</v>
      </c>
      <c r="F147" s="183">
        <f t="shared" si="9"/>
        <v>2</v>
      </c>
      <c r="G147" s="238">
        <v>0.5</v>
      </c>
      <c r="H147" s="238">
        <v>0.5</v>
      </c>
      <c r="I147" s="238">
        <v>0.5</v>
      </c>
      <c r="J147" s="238">
        <v>0.5</v>
      </c>
      <c r="K147" s="86"/>
    </row>
    <row r="148" spans="1:11" s="1" customFormat="1">
      <c r="A148" s="103" t="s">
        <v>487</v>
      </c>
      <c r="B148" s="255" t="s">
        <v>1267</v>
      </c>
      <c r="C148" s="208">
        <f>1.2+5.2</f>
        <v>6.4</v>
      </c>
      <c r="D148" s="238">
        <v>6</v>
      </c>
      <c r="E148" s="208">
        <v>6</v>
      </c>
      <c r="F148" s="183">
        <f t="shared" si="9"/>
        <v>6.4</v>
      </c>
      <c r="G148" s="238">
        <v>1.6</v>
      </c>
      <c r="H148" s="238">
        <v>1.6</v>
      </c>
      <c r="I148" s="238">
        <v>1.6</v>
      </c>
      <c r="J148" s="238">
        <v>1.6</v>
      </c>
      <c r="K148" s="86"/>
    </row>
    <row r="149" spans="1:11" s="1" customFormat="1" ht="31.5">
      <c r="A149" s="103" t="s">
        <v>486</v>
      </c>
      <c r="B149" s="255" t="s">
        <v>1268</v>
      </c>
      <c r="C149" s="208">
        <f>8.5+6.1</f>
        <v>14.6</v>
      </c>
      <c r="D149" s="238">
        <v>16</v>
      </c>
      <c r="E149" s="208">
        <v>16</v>
      </c>
      <c r="F149" s="183">
        <f t="shared" si="9"/>
        <v>16.8</v>
      </c>
      <c r="G149" s="238">
        <v>4.2</v>
      </c>
      <c r="H149" s="238">
        <v>4.2</v>
      </c>
      <c r="I149" s="238">
        <v>4.2</v>
      </c>
      <c r="J149" s="238">
        <v>4.2</v>
      </c>
      <c r="K149" s="86"/>
    </row>
    <row r="150" spans="1:11" s="1" customFormat="1" ht="78.75">
      <c r="A150" s="103" t="s">
        <v>236</v>
      </c>
      <c r="B150" s="255" t="s">
        <v>1269</v>
      </c>
      <c r="C150" s="238"/>
      <c r="D150" s="238">
        <v>1245.8</v>
      </c>
      <c r="E150" s="208">
        <v>1245.8</v>
      </c>
      <c r="F150" s="183">
        <f t="shared" si="9"/>
        <v>0</v>
      </c>
      <c r="G150" s="238">
        <v>0</v>
      </c>
      <c r="H150" s="238">
        <v>0</v>
      </c>
      <c r="I150" s="238">
        <v>0</v>
      </c>
      <c r="J150" s="238">
        <v>0</v>
      </c>
      <c r="K150" s="86"/>
    </row>
    <row r="151" spans="1:11" s="1" customFormat="1">
      <c r="A151" s="103" t="s">
        <v>256</v>
      </c>
      <c r="B151" s="255" t="s">
        <v>1270</v>
      </c>
      <c r="C151" s="238">
        <v>70</v>
      </c>
      <c r="D151" s="238"/>
      <c r="E151" s="208"/>
      <c r="F151" s="183"/>
      <c r="G151" s="238"/>
      <c r="H151" s="238"/>
      <c r="I151" s="238"/>
      <c r="J151" s="238"/>
      <c r="K151" s="86"/>
    </row>
    <row r="152" spans="1:11" s="1" customFormat="1">
      <c r="A152" s="103" t="s">
        <v>1177</v>
      </c>
      <c r="B152" s="255" t="s">
        <v>257</v>
      </c>
      <c r="C152" s="238">
        <f>64.2+8.9+2.5</f>
        <v>75.600000000000009</v>
      </c>
      <c r="D152" s="238">
        <v>72</v>
      </c>
      <c r="E152" s="208">
        <v>72</v>
      </c>
      <c r="F152" s="183">
        <f t="shared" si="9"/>
        <v>80</v>
      </c>
      <c r="G152" s="238">
        <v>20</v>
      </c>
      <c r="H152" s="238">
        <v>20</v>
      </c>
      <c r="I152" s="238">
        <v>20</v>
      </c>
      <c r="J152" s="238">
        <v>20</v>
      </c>
      <c r="K152" s="86"/>
    </row>
    <row r="153" spans="1:11" s="5" customFormat="1" ht="43.5" customHeight="1">
      <c r="A153" s="9" t="s">
        <v>663</v>
      </c>
      <c r="B153" s="117">
        <v>1100</v>
      </c>
      <c r="C153" s="231">
        <f>C41+C42-C54-C92-C109</f>
        <v>-32246.787500000009</v>
      </c>
      <c r="D153" s="253">
        <f>D41+D42-D54-D92-D109</f>
        <v>-54028.57142857142</v>
      </c>
      <c r="E153" s="253">
        <f>E41+E42-E54-E92-E109</f>
        <v>-45616.464228571429</v>
      </c>
      <c r="F153" s="231">
        <f>SUM(G153:J153)</f>
        <v>-36624.30000000001</v>
      </c>
      <c r="G153" s="253">
        <f>G41+G42-G54-G92-G109</f>
        <v>-9047.9000000000015</v>
      </c>
      <c r="H153" s="253">
        <f>H41+H42-H54-H92-H109</f>
        <v>-6588.7000000000016</v>
      </c>
      <c r="I153" s="253">
        <f>I41+I42-I54-I92-I109</f>
        <v>-11104.000000000005</v>
      </c>
      <c r="J153" s="253">
        <f>J41+J42-J54-J92-J109</f>
        <v>-9883.7000000000044</v>
      </c>
      <c r="K153" s="89"/>
    </row>
    <row r="154" spans="1:11" ht="36.75" customHeight="1">
      <c r="A154" s="8" t="s">
        <v>771</v>
      </c>
      <c r="B154" s="116">
        <v>1110</v>
      </c>
      <c r="C154" s="208"/>
      <c r="D154" s="208"/>
      <c r="E154" s="208"/>
      <c r="F154" s="183">
        <f t="shared" ref="F154:F165" si="10">SUM(G154:J154)</f>
        <v>0</v>
      </c>
      <c r="G154" s="208"/>
      <c r="H154" s="208"/>
      <c r="I154" s="208"/>
      <c r="J154" s="208"/>
      <c r="K154" s="86"/>
    </row>
    <row r="155" spans="1:11" ht="47.25" customHeight="1">
      <c r="A155" s="9" t="s">
        <v>772</v>
      </c>
      <c r="B155" s="117">
        <v>1120</v>
      </c>
      <c r="C155" s="216">
        <f>C156</f>
        <v>54.4</v>
      </c>
      <c r="D155" s="216">
        <f>D156</f>
        <v>30</v>
      </c>
      <c r="E155" s="216">
        <f>E156</f>
        <v>60</v>
      </c>
      <c r="F155" s="231">
        <f t="shared" si="10"/>
        <v>60</v>
      </c>
      <c r="G155" s="216">
        <f>G156</f>
        <v>15</v>
      </c>
      <c r="H155" s="216">
        <f>H156</f>
        <v>15</v>
      </c>
      <c r="I155" s="216">
        <f>I156</f>
        <v>15</v>
      </c>
      <c r="J155" s="216">
        <f>J156</f>
        <v>15</v>
      </c>
      <c r="K155" s="86"/>
    </row>
    <row r="156" spans="1:11" ht="33" customHeight="1">
      <c r="A156" s="103" t="s">
        <v>1271</v>
      </c>
      <c r="B156" s="116" t="s">
        <v>1272</v>
      </c>
      <c r="C156" s="208">
        <v>54.4</v>
      </c>
      <c r="D156" s="208">
        <v>30</v>
      </c>
      <c r="E156" s="208">
        <v>60</v>
      </c>
      <c r="F156" s="183">
        <f t="shared" si="10"/>
        <v>60</v>
      </c>
      <c r="G156" s="208">
        <v>15</v>
      </c>
      <c r="H156" s="208">
        <v>15</v>
      </c>
      <c r="I156" s="208">
        <v>15</v>
      </c>
      <c r="J156" s="208">
        <v>15</v>
      </c>
      <c r="K156" s="86"/>
    </row>
    <row r="157" spans="1:11" ht="36.75" customHeight="1">
      <c r="A157" s="8" t="s">
        <v>775</v>
      </c>
      <c r="B157" s="116">
        <v>1130</v>
      </c>
      <c r="C157" s="208">
        <v>0</v>
      </c>
      <c r="D157" s="208">
        <v>0</v>
      </c>
      <c r="E157" s="208">
        <v>0</v>
      </c>
      <c r="F157" s="183">
        <f t="shared" si="10"/>
        <v>0</v>
      </c>
      <c r="G157" s="208">
        <v>0</v>
      </c>
      <c r="H157" s="208">
        <v>0</v>
      </c>
      <c r="I157" s="208">
        <v>0</v>
      </c>
      <c r="J157" s="208">
        <v>0</v>
      </c>
      <c r="K157" s="86"/>
    </row>
    <row r="158" spans="1:11" ht="39.75" customHeight="1">
      <c r="A158" s="9" t="s">
        <v>774</v>
      </c>
      <c r="B158" s="117">
        <v>1140</v>
      </c>
      <c r="C158" s="216">
        <f>C159</f>
        <v>14.8</v>
      </c>
      <c r="D158" s="216">
        <f>D159</f>
        <v>183.10870656</v>
      </c>
      <c r="E158" s="216">
        <f>E159</f>
        <v>183.1</v>
      </c>
      <c r="F158" s="231">
        <f t="shared" si="10"/>
        <v>627.77281919999996</v>
      </c>
      <c r="G158" s="216">
        <f>G159</f>
        <v>0</v>
      </c>
      <c r="H158" s="216">
        <f>H159</f>
        <v>172.28640960000001</v>
      </c>
      <c r="I158" s="216">
        <f>I159</f>
        <v>0</v>
      </c>
      <c r="J158" s="216">
        <f>J159</f>
        <v>455.4864096</v>
      </c>
      <c r="K158" s="86"/>
    </row>
    <row r="159" spans="1:11">
      <c r="A159" s="8" t="s">
        <v>1273</v>
      </c>
      <c r="B159" s="116" t="s">
        <v>1274</v>
      </c>
      <c r="C159" s="208">
        <v>14.8</v>
      </c>
      <c r="D159" s="208">
        <v>183.10870656</v>
      </c>
      <c r="E159" s="208">
        <v>183.1</v>
      </c>
      <c r="F159" s="183">
        <f t="shared" si="10"/>
        <v>627.77281919999996</v>
      </c>
      <c r="G159" s="208"/>
      <c r="H159" s="208">
        <f>(85852.5+268797.6+140000+1300000)*0.004*24/1000</f>
        <v>172.28640960000001</v>
      </c>
      <c r="I159" s="208"/>
      <c r="J159" s="208">
        <f>(85852.5+26879.76+1681917.84+350000+2600000)*0.004*24/1000</f>
        <v>455.4864096</v>
      </c>
      <c r="K159" s="86"/>
    </row>
    <row r="160" spans="1:11" ht="42" customHeight="1">
      <c r="A160" s="9" t="s">
        <v>446</v>
      </c>
      <c r="B160" s="117">
        <v>1150</v>
      </c>
      <c r="C160" s="216">
        <f>C161+C162</f>
        <v>3033.1</v>
      </c>
      <c r="D160" s="216">
        <f>D161+D162</f>
        <v>5728</v>
      </c>
      <c r="E160" s="216">
        <f>E161+E162</f>
        <v>3100</v>
      </c>
      <c r="F160" s="231">
        <f t="shared" si="10"/>
        <v>3100</v>
      </c>
      <c r="G160" s="216">
        <f>G161+G162</f>
        <v>775</v>
      </c>
      <c r="H160" s="216">
        <f>H161+H162</f>
        <v>775</v>
      </c>
      <c r="I160" s="216">
        <f>I161+I162</f>
        <v>775</v>
      </c>
      <c r="J160" s="216">
        <f>J161+J162</f>
        <v>775</v>
      </c>
      <c r="K160" s="86"/>
    </row>
    <row r="161" spans="1:11">
      <c r="A161" s="103" t="s">
        <v>852</v>
      </c>
      <c r="B161" s="116">
        <v>1151</v>
      </c>
      <c r="C161" s="238"/>
      <c r="D161" s="238"/>
      <c r="E161" s="238">
        <v>0</v>
      </c>
      <c r="F161" s="183">
        <f t="shared" si="10"/>
        <v>0</v>
      </c>
      <c r="G161" s="238"/>
      <c r="H161" s="238"/>
      <c r="I161" s="238"/>
      <c r="J161" s="238"/>
      <c r="K161" s="86"/>
    </row>
    <row r="162" spans="1:11" ht="28.5" customHeight="1">
      <c r="A162" s="103" t="s">
        <v>1275</v>
      </c>
      <c r="B162" s="116">
        <v>1152</v>
      </c>
      <c r="C162" s="238">
        <v>3033.1</v>
      </c>
      <c r="D162" s="238">
        <v>5728</v>
      </c>
      <c r="E162" s="238">
        <v>3100</v>
      </c>
      <c r="F162" s="183">
        <f t="shared" si="10"/>
        <v>3100</v>
      </c>
      <c r="G162" s="238">
        <v>775</v>
      </c>
      <c r="H162" s="238">
        <v>775</v>
      </c>
      <c r="I162" s="238">
        <v>775</v>
      </c>
      <c r="J162" s="238">
        <v>775</v>
      </c>
      <c r="K162" s="86"/>
    </row>
    <row r="163" spans="1:11" ht="37.5" customHeight="1">
      <c r="A163" s="9" t="s">
        <v>447</v>
      </c>
      <c r="B163" s="117">
        <v>1160</v>
      </c>
      <c r="C163" s="216">
        <f>C164+C165</f>
        <v>57.9</v>
      </c>
      <c r="D163" s="216">
        <f>D164+D165</f>
        <v>0</v>
      </c>
      <c r="E163" s="216">
        <f>E164+E165</f>
        <v>0</v>
      </c>
      <c r="F163" s="231">
        <f t="shared" si="10"/>
        <v>0</v>
      </c>
      <c r="G163" s="216">
        <f>G164+G165</f>
        <v>0</v>
      </c>
      <c r="H163" s="216">
        <f>H164+H165</f>
        <v>0</v>
      </c>
      <c r="I163" s="216">
        <f>I164+I165</f>
        <v>0</v>
      </c>
      <c r="J163" s="216">
        <f>J164+J165</f>
        <v>0</v>
      </c>
      <c r="K163" s="86"/>
    </row>
    <row r="164" spans="1:11">
      <c r="A164" s="103" t="s">
        <v>852</v>
      </c>
      <c r="B164" s="116">
        <v>1161</v>
      </c>
      <c r="C164" s="238">
        <v>0</v>
      </c>
      <c r="D164" s="238">
        <v>0</v>
      </c>
      <c r="E164" s="238">
        <v>0</v>
      </c>
      <c r="F164" s="183">
        <f t="shared" si="10"/>
        <v>0</v>
      </c>
      <c r="G164" s="238">
        <v>0</v>
      </c>
      <c r="H164" s="238">
        <v>0</v>
      </c>
      <c r="I164" s="238">
        <v>0</v>
      </c>
      <c r="J164" s="238">
        <v>0</v>
      </c>
      <c r="K164" s="86"/>
    </row>
    <row r="165" spans="1:11" ht="47.25">
      <c r="A165" s="103" t="s">
        <v>983</v>
      </c>
      <c r="B165" s="116">
        <v>1162</v>
      </c>
      <c r="C165" s="238">
        <v>57.9</v>
      </c>
      <c r="D165" s="238">
        <v>0</v>
      </c>
      <c r="E165" s="238">
        <v>0</v>
      </c>
      <c r="F165" s="183">
        <f t="shared" si="10"/>
        <v>0</v>
      </c>
      <c r="G165" s="238">
        <v>0</v>
      </c>
      <c r="H165" s="238">
        <v>0</v>
      </c>
      <c r="I165" s="238">
        <v>0</v>
      </c>
      <c r="J165" s="238">
        <v>0</v>
      </c>
      <c r="K165" s="86"/>
    </row>
    <row r="166" spans="1:11" s="5" customFormat="1" ht="38.25" customHeight="1">
      <c r="A166" s="9" t="s">
        <v>757</v>
      </c>
      <c r="B166" s="117">
        <v>1170</v>
      </c>
      <c r="C166" s="231">
        <f t="shared" ref="C166:J166" si="11">C153+C154+C155-C157-C158+C160-C163</f>
        <v>-29231.98750000001</v>
      </c>
      <c r="D166" s="231">
        <f t="shared" si="11"/>
        <v>-48453.680135131421</v>
      </c>
      <c r="E166" s="231">
        <f t="shared" si="11"/>
        <v>-42639.564228571428</v>
      </c>
      <c r="F166" s="231">
        <f t="shared" si="11"/>
        <v>-34092.07281920001</v>
      </c>
      <c r="G166" s="231">
        <f t="shared" si="11"/>
        <v>-8257.9000000000015</v>
      </c>
      <c r="H166" s="231">
        <f t="shared" si="11"/>
        <v>-5970.9864096000019</v>
      </c>
      <c r="I166" s="231">
        <f t="shared" si="11"/>
        <v>-10314.000000000005</v>
      </c>
      <c r="J166" s="231">
        <f t="shared" si="11"/>
        <v>-9549.1864096000045</v>
      </c>
      <c r="K166" s="89"/>
    </row>
    <row r="167" spans="1:11" ht="39" customHeight="1">
      <c r="A167" s="8" t="s">
        <v>796</v>
      </c>
      <c r="B167" s="116">
        <v>1180</v>
      </c>
      <c r="C167" s="208">
        <v>0</v>
      </c>
      <c r="D167" s="208">
        <v>0</v>
      </c>
      <c r="E167" s="208">
        <v>0</v>
      </c>
      <c r="F167" s="183">
        <f>SUM(G167:J167)</f>
        <v>0</v>
      </c>
      <c r="G167" s="208"/>
      <c r="H167" s="208"/>
      <c r="I167" s="208"/>
      <c r="J167" s="208"/>
      <c r="K167" s="86"/>
    </row>
    <row r="168" spans="1:11" ht="53.25" customHeight="1">
      <c r="A168" s="344" t="s">
        <v>797</v>
      </c>
      <c r="B168" s="116">
        <v>1190</v>
      </c>
      <c r="C168" s="208">
        <v>0</v>
      </c>
      <c r="D168" s="208">
        <v>0</v>
      </c>
      <c r="E168" s="208">
        <v>0</v>
      </c>
      <c r="F168" s="183">
        <f>SUM(G168:J168)</f>
        <v>0</v>
      </c>
      <c r="G168" s="208"/>
      <c r="H168" s="208"/>
      <c r="I168" s="208"/>
      <c r="J168" s="208"/>
      <c r="K168" s="86"/>
    </row>
    <row r="169" spans="1:11" s="5" customFormat="1" ht="40.5" customHeight="1">
      <c r="A169" s="9" t="s">
        <v>758</v>
      </c>
      <c r="B169" s="117">
        <v>1200</v>
      </c>
      <c r="C169" s="183">
        <f>SUM(C166,C167,C168)</f>
        <v>-29231.98750000001</v>
      </c>
      <c r="D169" s="183">
        <f>SUM(D166,D167,D168)</f>
        <v>-48453.680135131421</v>
      </c>
      <c r="E169" s="183">
        <f>SUM(E166,E167,E168)</f>
        <v>-42639.564228571428</v>
      </c>
      <c r="F169" s="183">
        <f>SUM(G169:J169)</f>
        <v>-34092.072819200017</v>
      </c>
      <c r="G169" s="183">
        <f>SUM(G166,G167,G168)</f>
        <v>-8257.9000000000015</v>
      </c>
      <c r="H169" s="183">
        <f>SUM(H166,H167,H168)</f>
        <v>-5970.9864096000019</v>
      </c>
      <c r="I169" s="183">
        <f>SUM(I166,I167,I168)</f>
        <v>-10314.000000000005</v>
      </c>
      <c r="J169" s="183">
        <f>SUM(J166,J167,J168)</f>
        <v>-9549.1864096000045</v>
      </c>
      <c r="K169" s="89"/>
    </row>
    <row r="170" spans="1:11" ht="26.25" customHeight="1">
      <c r="A170" s="8" t="s">
        <v>684</v>
      </c>
      <c r="B170" s="114">
        <v>1201</v>
      </c>
      <c r="C170" s="238">
        <f>C169</f>
        <v>-29231.98750000001</v>
      </c>
      <c r="D170" s="208">
        <v>0</v>
      </c>
      <c r="E170" s="208">
        <v>0</v>
      </c>
      <c r="F170" s="183">
        <f>SUM(G170:J170)</f>
        <v>0</v>
      </c>
      <c r="G170" s="208"/>
      <c r="H170" s="208"/>
      <c r="I170" s="208"/>
      <c r="J170" s="208"/>
      <c r="K170" s="86"/>
    </row>
    <row r="171" spans="1:11" ht="24" customHeight="1">
      <c r="A171" s="8" t="s">
        <v>685</v>
      </c>
      <c r="B171" s="114">
        <v>1202</v>
      </c>
      <c r="C171" s="208">
        <v>0</v>
      </c>
      <c r="D171" s="238">
        <f>D169</f>
        <v>-48453.680135131421</v>
      </c>
      <c r="E171" s="238">
        <f>E169</f>
        <v>-42639.564228571428</v>
      </c>
      <c r="F171" s="183">
        <f t="shared" ref="F171:F178" si="12">SUM(G171:J171)</f>
        <v>-34092.072819200017</v>
      </c>
      <c r="G171" s="238">
        <f>G169</f>
        <v>-8257.9000000000015</v>
      </c>
      <c r="H171" s="238">
        <f>H169</f>
        <v>-5970.9864096000019</v>
      </c>
      <c r="I171" s="238">
        <f>I169</f>
        <v>-10314.000000000005</v>
      </c>
      <c r="J171" s="238">
        <f>J169</f>
        <v>-9549.1864096000045</v>
      </c>
      <c r="K171" s="86"/>
    </row>
    <row r="172" spans="1:11" ht="23.25" customHeight="1">
      <c r="A172" s="8" t="s">
        <v>869</v>
      </c>
      <c r="B172" s="116">
        <v>1210</v>
      </c>
      <c r="C172" s="208"/>
      <c r="D172" s="208"/>
      <c r="E172" s="208"/>
      <c r="F172" s="183">
        <f t="shared" si="12"/>
        <v>0</v>
      </c>
      <c r="G172" s="208"/>
      <c r="H172" s="208"/>
      <c r="I172" s="208"/>
      <c r="J172" s="208"/>
      <c r="K172" s="86"/>
    </row>
    <row r="173" spans="1:11" s="5" customFormat="1" ht="20.100000000000001" customHeight="1">
      <c r="A173" s="579" t="s">
        <v>900</v>
      </c>
      <c r="B173" s="579"/>
      <c r="C173" s="579"/>
      <c r="D173" s="579"/>
      <c r="E173" s="579"/>
      <c r="F173" s="579"/>
      <c r="G173" s="579"/>
      <c r="H173" s="579"/>
      <c r="I173" s="579"/>
      <c r="J173" s="579"/>
      <c r="K173" s="579"/>
    </row>
    <row r="174" spans="1:11" ht="42" customHeight="1">
      <c r="A174" s="73" t="s">
        <v>884</v>
      </c>
      <c r="B174" s="114">
        <v>1300</v>
      </c>
      <c r="C174" s="183">
        <f>C42-C109</f>
        <v>4242.1125000000029</v>
      </c>
      <c r="D174" s="183">
        <f>D42-D109</f>
        <v>977.62857142857138</v>
      </c>
      <c r="E174" s="183">
        <f>E42-E109</f>
        <v>-622.57142857142935</v>
      </c>
      <c r="F174" s="183">
        <f t="shared" si="12"/>
        <v>3884.9000000000005</v>
      </c>
      <c r="G174" s="183">
        <f>G42-G109</f>
        <v>513.89999999999986</v>
      </c>
      <c r="H174" s="183">
        <f>H42-H109</f>
        <v>508.10000000000014</v>
      </c>
      <c r="I174" s="183">
        <f>I42-I109</f>
        <v>378.80000000000018</v>
      </c>
      <c r="J174" s="183">
        <f>J42-J109</f>
        <v>2484.1000000000004</v>
      </c>
      <c r="K174" s="86"/>
    </row>
    <row r="175" spans="1:11" ht="67.5" customHeight="1">
      <c r="A175" s="343" t="s">
        <v>882</v>
      </c>
      <c r="B175" s="114">
        <v>1310</v>
      </c>
      <c r="C175" s="183">
        <f>C154+C155-C157-C158</f>
        <v>39.599999999999994</v>
      </c>
      <c r="D175" s="183">
        <f>D154+D155-D157-D158</f>
        <v>-153.10870656</v>
      </c>
      <c r="E175" s="183">
        <f>E154+E155-E157-E158</f>
        <v>-123.1</v>
      </c>
      <c r="F175" s="183">
        <f t="shared" si="12"/>
        <v>-567.77281919999996</v>
      </c>
      <c r="G175" s="183">
        <f>G154+G155-G157-G158</f>
        <v>15</v>
      </c>
      <c r="H175" s="183">
        <f>H154+H155-H157-H158</f>
        <v>-157.28640960000001</v>
      </c>
      <c r="I175" s="183">
        <f>I154+I155-I157-I158</f>
        <v>15</v>
      </c>
      <c r="J175" s="183">
        <f>J154+J155-J157-J158</f>
        <v>-440.4864096</v>
      </c>
      <c r="K175" s="86"/>
    </row>
    <row r="176" spans="1:11" ht="42.75" customHeight="1">
      <c r="A176" s="73" t="s">
        <v>883</v>
      </c>
      <c r="B176" s="114">
        <v>1320</v>
      </c>
      <c r="C176" s="183">
        <f>C160-C163</f>
        <v>2975.2</v>
      </c>
      <c r="D176" s="183">
        <f>D160-D163</f>
        <v>5728</v>
      </c>
      <c r="E176" s="183">
        <f>E160-E163</f>
        <v>3100</v>
      </c>
      <c r="F176" s="183">
        <f t="shared" si="12"/>
        <v>3100</v>
      </c>
      <c r="G176" s="183">
        <f>G160-G163</f>
        <v>775</v>
      </c>
      <c r="H176" s="183">
        <f>H160-H163</f>
        <v>775</v>
      </c>
      <c r="I176" s="183">
        <f>I160-I163</f>
        <v>775</v>
      </c>
      <c r="J176" s="183">
        <f>J160-J163</f>
        <v>775</v>
      </c>
      <c r="K176" s="86"/>
    </row>
    <row r="177" spans="1:15" ht="25.5" customHeight="1">
      <c r="A177" s="9" t="s">
        <v>678</v>
      </c>
      <c r="B177" s="117">
        <v>1330</v>
      </c>
      <c r="C177" s="256">
        <f>C7+C42+C155+C160+C154</f>
        <v>116214.1</v>
      </c>
      <c r="D177" s="256">
        <f>D7+D42+D155+D160+D154</f>
        <v>118822.3</v>
      </c>
      <c r="E177" s="256">
        <f>E7+E42+E155+E160+E154</f>
        <v>119232.6072</v>
      </c>
      <c r="F177" s="338">
        <f t="shared" si="12"/>
        <v>143340.6</v>
      </c>
      <c r="G177" s="256">
        <f>G7+G42+G155+G160+G154</f>
        <v>32782.9</v>
      </c>
      <c r="H177" s="256">
        <f>H7+H42+H155+H160+H154</f>
        <v>35835.300000000003</v>
      </c>
      <c r="I177" s="256">
        <f>I7+I42+I155+I160+I154</f>
        <v>36400.399999999994</v>
      </c>
      <c r="J177" s="256">
        <f>J7+J42+J155+J160+J154</f>
        <v>38322</v>
      </c>
      <c r="K177" s="89"/>
    </row>
    <row r="178" spans="1:15" ht="26.25" customHeight="1">
      <c r="A178" s="9" t="s">
        <v>778</v>
      </c>
      <c r="B178" s="117">
        <v>1340</v>
      </c>
      <c r="C178" s="256">
        <f>C14+C54+C92+C109+C158+C163</f>
        <v>145446.08749999997</v>
      </c>
      <c r="D178" s="256">
        <f>D14+D54+D92+D109+D158+D163</f>
        <v>167275.98013513139</v>
      </c>
      <c r="E178" s="256">
        <f>E14+E54+E92+E109+E158+E163</f>
        <v>161872.17142857143</v>
      </c>
      <c r="F178" s="338">
        <f t="shared" si="12"/>
        <v>177432.6728192</v>
      </c>
      <c r="G178" s="256">
        <f>G14+G54+G92+G109+G158+G163</f>
        <v>41040.800000000003</v>
      </c>
      <c r="H178" s="256">
        <f>H14+H54+H92+H109+H158+H163</f>
        <v>41806.286409599998</v>
      </c>
      <c r="I178" s="256">
        <f>I14+I54+I92+I109+I158+I163</f>
        <v>46714.400000000001</v>
      </c>
      <c r="J178" s="256">
        <f>J14+J54+J92+J109+J158+J163</f>
        <v>47871.186409599999</v>
      </c>
      <c r="K178" s="89"/>
    </row>
    <row r="179" spans="1:15">
      <c r="A179" s="579" t="s">
        <v>862</v>
      </c>
      <c r="B179" s="579"/>
      <c r="C179" s="579"/>
      <c r="D179" s="579"/>
      <c r="E179" s="579"/>
      <c r="F179" s="579"/>
      <c r="G179" s="579"/>
      <c r="H179" s="579"/>
      <c r="I179" s="579"/>
      <c r="J179" s="579"/>
      <c r="K179" s="579"/>
    </row>
    <row r="180" spans="1:15" ht="34.5" customHeight="1">
      <c r="A180" s="8" t="s">
        <v>901</v>
      </c>
      <c r="B180" s="119">
        <v>1500</v>
      </c>
      <c r="C180" s="208">
        <v>66220</v>
      </c>
      <c r="D180" s="208">
        <v>75654.7</v>
      </c>
      <c r="E180" s="208">
        <f>E181+E182</f>
        <v>72936.7</v>
      </c>
      <c r="F180" s="183">
        <f t="shared" ref="F180:F187" si="13">SUM(G180:J180)</f>
        <v>80750</v>
      </c>
      <c r="G180" s="208">
        <f>G181+G182</f>
        <v>18232</v>
      </c>
      <c r="H180" s="208">
        <f>H181+H182</f>
        <v>20128</v>
      </c>
      <c r="I180" s="208">
        <f>I181+I182</f>
        <v>21171</v>
      </c>
      <c r="J180" s="208">
        <f>J181+J182</f>
        <v>21219</v>
      </c>
      <c r="K180" s="86"/>
    </row>
    <row r="181" spans="1:15" ht="33.75" customHeight="1">
      <c r="A181" s="103" t="s">
        <v>899</v>
      </c>
      <c r="B181" s="110">
        <v>1501</v>
      </c>
      <c r="C181" s="208">
        <f>C180-C182</f>
        <v>10965.799999999996</v>
      </c>
      <c r="D181" s="238">
        <f>D180-D182</f>
        <v>8591.1999999999971</v>
      </c>
      <c r="E181" s="238">
        <f>E15+E23+E29+E32+E81+E85+E102+E106+E125+E131</f>
        <v>9129.2000000000007</v>
      </c>
      <c r="F181" s="351">
        <f t="shared" si="13"/>
        <v>10246</v>
      </c>
      <c r="G181" s="238">
        <f>G15+G23+G29+G32+G81+G85+G102+G106+G125+G131</f>
        <v>1906</v>
      </c>
      <c r="H181" s="238">
        <f>H15+H23+H29+H32+H81+H85+H102+H106+H125+H131</f>
        <v>2196</v>
      </c>
      <c r="I181" s="238">
        <f>I15+I23+I29+I32+I81+I85+I102+I106+I125+I131</f>
        <v>3216</v>
      </c>
      <c r="J181" s="238">
        <f>J15+J23+J29+J32+J81+J85+J102+J106+J125+J131</f>
        <v>2928</v>
      </c>
      <c r="K181" s="86"/>
    </row>
    <row r="182" spans="1:15">
      <c r="A182" s="103" t="s">
        <v>688</v>
      </c>
      <c r="B182" s="110">
        <v>1502</v>
      </c>
      <c r="C182" s="208">
        <f>52285+2108.6+776.3+34.3+5.5+17.2+27.3</f>
        <v>55254.200000000004</v>
      </c>
      <c r="D182" s="238">
        <v>67063.5</v>
      </c>
      <c r="E182" s="238">
        <f>E17+E16+E55+E80+E103+E104+E126+E135</f>
        <v>63807.5</v>
      </c>
      <c r="F182" s="351">
        <f t="shared" si="13"/>
        <v>70504</v>
      </c>
      <c r="G182" s="238">
        <f>G17+G16+G55+G80+G103+G104+G126+G135</f>
        <v>16326</v>
      </c>
      <c r="H182" s="238">
        <f>H17+H16+H55+H80+H103+H104+H126+H135</f>
        <v>17932</v>
      </c>
      <c r="I182" s="238">
        <f>I17+I16+I55+I80+I103+I104+I126+I135</f>
        <v>17955</v>
      </c>
      <c r="J182" s="238">
        <f>J17+J16+J55+J80+J103+J104+J126+J135</f>
        <v>18291</v>
      </c>
      <c r="K182" s="86"/>
    </row>
    <row r="183" spans="1:15" ht="24.75" customHeight="1">
      <c r="A183" s="8" t="s">
        <v>664</v>
      </c>
      <c r="B183" s="119">
        <v>1510</v>
      </c>
      <c r="C183" s="208">
        <v>39809.1</v>
      </c>
      <c r="D183" s="208">
        <v>47528.200000000004</v>
      </c>
      <c r="E183" s="208">
        <f t="shared" ref="E183:J184" si="14">E18+E62+E93+E116</f>
        <v>45910</v>
      </c>
      <c r="F183" s="183">
        <f t="shared" si="13"/>
        <v>53174.8</v>
      </c>
      <c r="G183" s="208">
        <f t="shared" si="14"/>
        <v>11716.9</v>
      </c>
      <c r="H183" s="208">
        <f t="shared" si="14"/>
        <v>11716.9</v>
      </c>
      <c r="I183" s="208">
        <f t="shared" si="14"/>
        <v>14870.500000000002</v>
      </c>
      <c r="J183" s="208">
        <f t="shared" si="14"/>
        <v>14870.500000000002</v>
      </c>
      <c r="K183" s="86"/>
    </row>
    <row r="184" spans="1:15" ht="36.75" customHeight="1">
      <c r="A184" s="8" t="s">
        <v>665</v>
      </c>
      <c r="B184" s="119">
        <v>1520</v>
      </c>
      <c r="C184" s="208">
        <v>14359.5</v>
      </c>
      <c r="D184" s="208">
        <v>10456.4</v>
      </c>
      <c r="E184" s="208">
        <f t="shared" si="14"/>
        <v>10304</v>
      </c>
      <c r="F184" s="183">
        <f t="shared" si="13"/>
        <v>11698.6</v>
      </c>
      <c r="G184" s="208">
        <f t="shared" si="14"/>
        <v>2577.6999999999998</v>
      </c>
      <c r="H184" s="208">
        <f t="shared" si="14"/>
        <v>2577.6999999999998</v>
      </c>
      <c r="I184" s="208">
        <f t="shared" si="14"/>
        <v>3271.6000000000004</v>
      </c>
      <c r="J184" s="208">
        <f t="shared" si="14"/>
        <v>3271.6000000000004</v>
      </c>
      <c r="K184" s="86"/>
    </row>
    <row r="185" spans="1:15" ht="20.100000000000001" customHeight="1">
      <c r="A185" s="8" t="s">
        <v>666</v>
      </c>
      <c r="B185" s="119">
        <v>1530</v>
      </c>
      <c r="C185" s="208">
        <v>7447.4</v>
      </c>
      <c r="D185" s="208">
        <v>10751.8</v>
      </c>
      <c r="E185" s="208">
        <f>E21+E64+E96+E118</f>
        <v>9924.2000000000007</v>
      </c>
      <c r="F185" s="183">
        <f t="shared" si="13"/>
        <v>9176</v>
      </c>
      <c r="G185" s="208">
        <f>G21+G64+G96+G118</f>
        <v>2456.5</v>
      </c>
      <c r="H185" s="208">
        <f>H21+H64+H96+H118</f>
        <v>2206.5</v>
      </c>
      <c r="I185" s="208">
        <f>I21+I64+I96+I118</f>
        <v>2206.5</v>
      </c>
      <c r="J185" s="208">
        <f>J21+J64+J96+J118</f>
        <v>2306.5</v>
      </c>
      <c r="K185" s="86"/>
      <c r="N185" s="434">
        <f>D185-N21</f>
        <v>0</v>
      </c>
      <c r="O185" s="434">
        <f>E185-O21</f>
        <v>0</v>
      </c>
    </row>
    <row r="186" spans="1:15" ht="20.100000000000001" customHeight="1">
      <c r="A186" s="8" t="s">
        <v>689</v>
      </c>
      <c r="B186" s="119">
        <v>1540</v>
      </c>
      <c r="C186" s="208">
        <v>17537.400000000001</v>
      </c>
      <c r="D186" s="208">
        <v>22701.771428571436</v>
      </c>
      <c r="E186" s="208">
        <f>E14+E54+E92+E109-E180-E183-E184-E185</f>
        <v>22614.171428571422</v>
      </c>
      <c r="F186" s="183">
        <f t="shared" si="13"/>
        <v>22005.5</v>
      </c>
      <c r="G186" s="208">
        <f>G14+G54+G92+G109-G180-G183-G184-G185</f>
        <v>6057.7000000000044</v>
      </c>
      <c r="H186" s="208">
        <f>H14+H54+H92+H109-H180-H183-H184-H185</f>
        <v>5004.9000000000005</v>
      </c>
      <c r="I186" s="208">
        <f>I14+I54+I92+I109-I180-I183-I184-I185</f>
        <v>5194.7999999999993</v>
      </c>
      <c r="J186" s="208">
        <f>J14+J54+J92+J109-J180-J183-J184-J185</f>
        <v>5748.0999999999949</v>
      </c>
      <c r="K186" s="86"/>
    </row>
    <row r="187" spans="1:15" s="5" customFormat="1" ht="20.100000000000001" customHeight="1">
      <c r="A187" s="9" t="s">
        <v>717</v>
      </c>
      <c r="B187" s="118">
        <v>1550</v>
      </c>
      <c r="C187" s="248">
        <f>SUM(C180,C183:C186)</f>
        <v>145373.4</v>
      </c>
      <c r="D187" s="248">
        <f>SUM(D180,D183:D186)</f>
        <v>167092.87142857141</v>
      </c>
      <c r="E187" s="248">
        <f>SUM(E180,E183:E186)</f>
        <v>161689.07142857142</v>
      </c>
      <c r="F187" s="248">
        <f t="shared" si="13"/>
        <v>176804.90000000002</v>
      </c>
      <c r="G187" s="248">
        <f>SUM(G180,G183:G186)</f>
        <v>41040.80000000001</v>
      </c>
      <c r="H187" s="248">
        <f>SUM(H180,H183:H186)</f>
        <v>41634</v>
      </c>
      <c r="I187" s="248">
        <f>SUM(I180,I183:I186)</f>
        <v>46714.399999999994</v>
      </c>
      <c r="J187" s="248">
        <f>SUM(J180,J183:J186)</f>
        <v>47415.7</v>
      </c>
      <c r="K187" s="89"/>
    </row>
    <row r="188" spans="1:15" s="5" customFormat="1" ht="20.100000000000001" customHeight="1">
      <c r="A188" s="52"/>
      <c r="B188" s="59"/>
      <c r="C188" s="60"/>
      <c r="D188" s="60"/>
      <c r="E188" s="60"/>
      <c r="F188" s="60"/>
      <c r="G188" s="61"/>
      <c r="H188" s="61"/>
      <c r="I188" s="61"/>
      <c r="J188" s="61"/>
    </row>
    <row r="189" spans="1:15" ht="25.5" customHeight="1">
      <c r="A189" s="221" t="s">
        <v>1164</v>
      </c>
      <c r="B189" s="222"/>
      <c r="C189" s="573" t="s">
        <v>1165</v>
      </c>
      <c r="D189" s="573"/>
      <c r="E189" s="570" t="s">
        <v>317</v>
      </c>
      <c r="F189" s="570"/>
      <c r="G189" s="570"/>
    </row>
    <row r="190" spans="1:15" s="1" customFormat="1" ht="15" customHeight="1">
      <c r="A190" s="132" t="s">
        <v>1166</v>
      </c>
      <c r="B190" s="133"/>
      <c r="C190" s="574" t="s">
        <v>741</v>
      </c>
      <c r="D190" s="574"/>
      <c r="E190" s="576" t="s">
        <v>1167</v>
      </c>
      <c r="F190" s="576"/>
      <c r="G190" s="576"/>
      <c r="I190" s="240"/>
      <c r="J190" s="240"/>
    </row>
    <row r="191" spans="1:15">
      <c r="A191" s="221" t="s">
        <v>1168</v>
      </c>
      <c r="B191"/>
      <c r="C191" s="573" t="s">
        <v>1165</v>
      </c>
      <c r="D191" s="573"/>
      <c r="E191" s="570" t="s">
        <v>1169</v>
      </c>
      <c r="F191" s="570"/>
      <c r="G191" s="570"/>
      <c r="H191" s="20"/>
      <c r="I191" s="24"/>
      <c r="J191" s="24"/>
    </row>
    <row r="192" spans="1:15" ht="15" customHeight="1">
      <c r="A192"/>
      <c r="B192"/>
      <c r="C192" s="574" t="s">
        <v>741</v>
      </c>
      <c r="D192" s="574"/>
      <c r="E192" s="576" t="s">
        <v>1167</v>
      </c>
      <c r="F192" s="576"/>
      <c r="G192" s="576"/>
      <c r="H192" s="20"/>
      <c r="I192" s="24"/>
      <c r="J192" s="24"/>
    </row>
    <row r="193" spans="1:10">
      <c r="A193" s="221" t="s">
        <v>1170</v>
      </c>
      <c r="B193"/>
      <c r="C193" s="573" t="s">
        <v>1165</v>
      </c>
      <c r="D193" s="573"/>
      <c r="E193" s="570" t="s">
        <v>1171</v>
      </c>
      <c r="F193" s="570"/>
      <c r="G193" s="570"/>
      <c r="H193" s="241"/>
      <c r="I193" s="24"/>
      <c r="J193" s="24"/>
    </row>
    <row r="194" spans="1:10" ht="15" customHeight="1">
      <c r="A194" s="221"/>
      <c r="B194"/>
      <c r="C194" s="574" t="s">
        <v>741</v>
      </c>
      <c r="D194" s="574"/>
      <c r="E194" s="576" t="s">
        <v>1167</v>
      </c>
      <c r="F194" s="576"/>
      <c r="G194" s="576"/>
      <c r="H194" s="242"/>
      <c r="I194" s="24"/>
      <c r="J194" s="24"/>
    </row>
    <row r="195" spans="1:10">
      <c r="A195" s="221" t="s">
        <v>1172</v>
      </c>
      <c r="B195"/>
      <c r="C195" s="573" t="s">
        <v>1165</v>
      </c>
      <c r="D195" s="573"/>
      <c r="E195" s="570" t="s">
        <v>1173</v>
      </c>
      <c r="F195" s="570"/>
      <c r="G195" s="570"/>
      <c r="H195" s="241"/>
      <c r="I195" s="24"/>
      <c r="J195" s="24"/>
    </row>
    <row r="196" spans="1:10" ht="15" customHeight="1">
      <c r="A196"/>
      <c r="B196"/>
      <c r="C196" s="574" t="s">
        <v>741</v>
      </c>
      <c r="D196" s="574"/>
      <c r="E196" s="576" t="s">
        <v>1167</v>
      </c>
      <c r="F196" s="576"/>
      <c r="G196" s="576"/>
      <c r="H196" s="242"/>
      <c r="I196" s="24"/>
      <c r="J196" s="24"/>
    </row>
    <row r="197" spans="1:10">
      <c r="A197" s="23"/>
      <c r="C197" s="28"/>
      <c r="D197" s="24"/>
      <c r="E197" s="24"/>
      <c r="F197" s="24"/>
      <c r="G197" s="24"/>
      <c r="H197" s="24"/>
      <c r="I197" s="24"/>
      <c r="J197" s="24"/>
    </row>
    <row r="198" spans="1:10">
      <c r="A198" s="23"/>
      <c r="C198" s="28"/>
      <c r="D198" s="24"/>
      <c r="E198" s="24"/>
      <c r="F198" s="24"/>
      <c r="G198" s="24"/>
      <c r="H198" s="24"/>
      <c r="I198" s="24"/>
      <c r="J198" s="24"/>
    </row>
    <row r="199" spans="1:10">
      <c r="A199" s="23"/>
      <c r="C199" s="28"/>
      <c r="D199" s="24"/>
      <c r="E199" s="24"/>
      <c r="F199" s="24"/>
      <c r="G199" s="24"/>
      <c r="H199" s="24"/>
      <c r="I199" s="24"/>
      <c r="J199" s="24"/>
    </row>
    <row r="200" spans="1:10">
      <c r="A200" s="23"/>
      <c r="C200" s="28"/>
      <c r="D200" s="24"/>
      <c r="E200" s="24"/>
      <c r="F200" s="24"/>
      <c r="G200" s="24"/>
      <c r="H200" s="24"/>
      <c r="I200" s="24"/>
      <c r="J200" s="24"/>
    </row>
    <row r="201" spans="1:10">
      <c r="A201" s="23"/>
      <c r="C201" s="28"/>
      <c r="D201" s="24"/>
      <c r="E201" s="24"/>
      <c r="F201" s="24"/>
      <c r="G201" s="24"/>
      <c r="H201" s="24"/>
      <c r="I201" s="24"/>
      <c r="J201" s="24"/>
    </row>
    <row r="202" spans="1:10">
      <c r="A202" s="23"/>
      <c r="C202" s="28"/>
      <c r="D202" s="24"/>
      <c r="E202" s="24"/>
      <c r="F202" s="24"/>
      <c r="G202" s="24"/>
      <c r="H202" s="24"/>
      <c r="I202" s="24"/>
      <c r="J202" s="24"/>
    </row>
    <row r="203" spans="1:10">
      <c r="A203" s="23"/>
      <c r="C203" s="28"/>
      <c r="D203" s="24"/>
      <c r="E203" s="24"/>
      <c r="F203" s="24"/>
      <c r="G203" s="24"/>
      <c r="H203" s="24"/>
      <c r="I203" s="24"/>
      <c r="J203" s="24"/>
    </row>
    <row r="204" spans="1:10">
      <c r="A204" s="23"/>
      <c r="C204" s="28"/>
      <c r="D204" s="24"/>
      <c r="E204" s="24"/>
      <c r="F204" s="24"/>
      <c r="G204" s="24"/>
      <c r="H204" s="24"/>
      <c r="I204" s="24"/>
      <c r="J204" s="24"/>
    </row>
    <row r="205" spans="1:10">
      <c r="A205" s="23"/>
      <c r="C205" s="28"/>
      <c r="D205" s="24"/>
      <c r="E205" s="24"/>
      <c r="F205" s="24"/>
      <c r="G205" s="24"/>
      <c r="H205" s="24"/>
      <c r="I205" s="24"/>
      <c r="J205" s="24"/>
    </row>
    <row r="206" spans="1:10">
      <c r="A206" s="23"/>
      <c r="C206" s="28"/>
      <c r="D206" s="24"/>
      <c r="E206" s="24"/>
      <c r="F206" s="24"/>
      <c r="G206" s="24"/>
      <c r="H206" s="24"/>
      <c r="I206" s="24"/>
      <c r="J206" s="24"/>
    </row>
    <row r="207" spans="1:10">
      <c r="A207" s="23"/>
      <c r="C207" s="28"/>
      <c r="D207" s="24"/>
      <c r="E207" s="24"/>
      <c r="F207" s="24"/>
      <c r="G207" s="24"/>
      <c r="H207" s="24"/>
      <c r="I207" s="24"/>
      <c r="J207" s="24"/>
    </row>
    <row r="208" spans="1:10">
      <c r="A208" s="23"/>
      <c r="C208" s="28"/>
      <c r="D208" s="24"/>
      <c r="E208" s="24"/>
      <c r="F208" s="24"/>
      <c r="G208" s="24"/>
      <c r="H208" s="24"/>
      <c r="I208" s="24"/>
      <c r="J208" s="24"/>
    </row>
    <row r="209" spans="1:10">
      <c r="A209" s="23"/>
      <c r="C209" s="28"/>
      <c r="D209" s="24"/>
      <c r="E209" s="24"/>
      <c r="F209" s="24"/>
      <c r="G209" s="24"/>
      <c r="H209" s="24"/>
      <c r="I209" s="24"/>
      <c r="J209" s="24"/>
    </row>
    <row r="210" spans="1:10">
      <c r="A210" s="23"/>
      <c r="C210" s="28"/>
      <c r="D210" s="24"/>
      <c r="E210" s="24"/>
      <c r="F210" s="24"/>
      <c r="G210" s="24"/>
      <c r="H210" s="24"/>
      <c r="I210" s="24"/>
      <c r="J210" s="24"/>
    </row>
    <row r="211" spans="1:10">
      <c r="A211" s="23"/>
      <c r="C211" s="28"/>
      <c r="D211" s="24"/>
      <c r="E211" s="24"/>
      <c r="F211" s="24"/>
      <c r="G211" s="24"/>
      <c r="H211" s="24"/>
      <c r="I211" s="24"/>
      <c r="J211" s="24"/>
    </row>
    <row r="212" spans="1:10">
      <c r="A212" s="23"/>
      <c r="C212" s="28"/>
      <c r="D212" s="24"/>
      <c r="E212" s="24"/>
      <c r="F212" s="24"/>
      <c r="G212" s="24"/>
      <c r="H212" s="24"/>
      <c r="I212" s="24"/>
      <c r="J212" s="24"/>
    </row>
    <row r="213" spans="1:10">
      <c r="A213" s="23"/>
      <c r="C213" s="28"/>
      <c r="D213" s="24"/>
      <c r="E213" s="24"/>
      <c r="F213" s="24"/>
      <c r="G213" s="24"/>
      <c r="H213" s="24"/>
      <c r="I213" s="24"/>
      <c r="J213" s="24"/>
    </row>
    <row r="214" spans="1:10">
      <c r="A214" s="23"/>
      <c r="C214" s="28"/>
      <c r="D214" s="24"/>
      <c r="E214" s="24"/>
      <c r="F214" s="24"/>
      <c r="G214" s="24"/>
      <c r="H214" s="24"/>
      <c r="I214" s="24"/>
      <c r="J214" s="24"/>
    </row>
    <row r="215" spans="1:10">
      <c r="A215" s="23"/>
      <c r="C215" s="28"/>
      <c r="D215" s="24"/>
      <c r="E215" s="24"/>
      <c r="F215" s="24"/>
      <c r="G215" s="24"/>
      <c r="H215" s="24"/>
      <c r="I215" s="24"/>
      <c r="J215" s="24"/>
    </row>
    <row r="216" spans="1:10">
      <c r="A216" s="23"/>
      <c r="C216" s="28"/>
      <c r="D216" s="24"/>
      <c r="E216" s="24"/>
      <c r="F216" s="24"/>
      <c r="G216" s="24"/>
      <c r="H216" s="24"/>
      <c r="I216" s="24"/>
      <c r="J216" s="24"/>
    </row>
    <row r="217" spans="1:10">
      <c r="A217" s="23"/>
      <c r="C217" s="28"/>
      <c r="D217" s="24"/>
      <c r="E217" s="24"/>
      <c r="F217" s="24"/>
      <c r="G217" s="24"/>
      <c r="H217" s="24"/>
      <c r="I217" s="24"/>
      <c r="J217" s="24"/>
    </row>
    <row r="218" spans="1:10">
      <c r="A218" s="23"/>
      <c r="C218" s="28"/>
      <c r="D218" s="24"/>
      <c r="E218" s="24"/>
      <c r="F218" s="24"/>
      <c r="G218" s="24"/>
      <c r="H218" s="24"/>
      <c r="I218" s="24"/>
      <c r="J218" s="24"/>
    </row>
    <row r="219" spans="1:10">
      <c r="A219" s="23"/>
      <c r="C219" s="28"/>
      <c r="D219" s="24"/>
      <c r="E219" s="24"/>
      <c r="F219" s="24"/>
      <c r="G219" s="24"/>
      <c r="H219" s="24"/>
      <c r="I219" s="24"/>
      <c r="J219" s="24"/>
    </row>
    <row r="220" spans="1:10">
      <c r="A220" s="23"/>
      <c r="C220" s="28"/>
      <c r="D220" s="24"/>
      <c r="E220" s="24"/>
      <c r="F220" s="24"/>
      <c r="G220" s="24"/>
      <c r="H220" s="24"/>
      <c r="I220" s="24"/>
      <c r="J220" s="24"/>
    </row>
    <row r="221" spans="1:10">
      <c r="A221" s="23"/>
      <c r="C221" s="28"/>
      <c r="D221" s="24"/>
      <c r="E221" s="24"/>
      <c r="F221" s="24"/>
      <c r="G221" s="24"/>
      <c r="H221" s="24"/>
      <c r="I221" s="24"/>
      <c r="J221" s="24"/>
    </row>
    <row r="222" spans="1:10">
      <c r="A222" s="23"/>
      <c r="C222" s="28"/>
      <c r="D222" s="24"/>
      <c r="E222" s="24"/>
      <c r="F222" s="24"/>
      <c r="G222" s="24"/>
      <c r="H222" s="24"/>
      <c r="I222" s="24"/>
      <c r="J222" s="24"/>
    </row>
    <row r="223" spans="1:10">
      <c r="A223" s="23"/>
      <c r="C223" s="28"/>
      <c r="D223" s="24"/>
      <c r="E223" s="24"/>
      <c r="F223" s="24"/>
      <c r="G223" s="24"/>
      <c r="H223" s="24"/>
      <c r="I223" s="24"/>
      <c r="J223" s="24"/>
    </row>
    <row r="224" spans="1:10">
      <c r="A224" s="23"/>
      <c r="C224" s="28"/>
      <c r="D224" s="24"/>
      <c r="E224" s="24"/>
      <c r="F224" s="24"/>
      <c r="G224" s="24"/>
      <c r="H224" s="24"/>
      <c r="I224" s="24"/>
      <c r="J224" s="24"/>
    </row>
    <row r="225" spans="1:10">
      <c r="A225" s="23"/>
      <c r="C225" s="28"/>
      <c r="D225" s="24"/>
      <c r="E225" s="24"/>
      <c r="F225" s="24"/>
      <c r="G225" s="24"/>
      <c r="H225" s="24"/>
      <c r="I225" s="24"/>
      <c r="J225" s="24"/>
    </row>
    <row r="226" spans="1:10">
      <c r="A226" s="23"/>
      <c r="C226" s="28"/>
      <c r="D226" s="24"/>
      <c r="E226" s="24"/>
      <c r="F226" s="24"/>
      <c r="G226" s="24"/>
      <c r="H226" s="24"/>
      <c r="I226" s="24"/>
      <c r="J226" s="24"/>
    </row>
    <row r="227" spans="1:10">
      <c r="A227" s="23"/>
      <c r="C227" s="28"/>
      <c r="D227" s="24"/>
      <c r="E227" s="24"/>
      <c r="F227" s="24"/>
      <c r="G227" s="24"/>
      <c r="H227" s="24"/>
      <c r="I227" s="24"/>
      <c r="J227" s="24"/>
    </row>
    <row r="228" spans="1:10">
      <c r="A228" s="23"/>
      <c r="C228" s="28"/>
      <c r="D228" s="24"/>
      <c r="E228" s="24"/>
      <c r="F228" s="24"/>
      <c r="G228" s="24"/>
      <c r="H228" s="24"/>
      <c r="I228" s="24"/>
      <c r="J228" s="24"/>
    </row>
    <row r="229" spans="1:10">
      <c r="A229" s="23"/>
      <c r="C229" s="28"/>
      <c r="D229" s="24"/>
      <c r="E229" s="24"/>
      <c r="F229" s="24"/>
      <c r="G229" s="24"/>
      <c r="H229" s="24"/>
      <c r="I229" s="24"/>
      <c r="J229" s="24"/>
    </row>
    <row r="230" spans="1:10">
      <c r="A230" s="23"/>
      <c r="C230" s="28"/>
      <c r="D230" s="24"/>
      <c r="E230" s="24"/>
      <c r="F230" s="24"/>
      <c r="G230" s="24"/>
      <c r="H230" s="24"/>
      <c r="I230" s="24"/>
      <c r="J230" s="24"/>
    </row>
    <row r="231" spans="1:10">
      <c r="A231" s="23"/>
      <c r="C231" s="28"/>
      <c r="D231" s="24"/>
      <c r="E231" s="24"/>
      <c r="F231" s="24"/>
      <c r="G231" s="24"/>
      <c r="H231" s="24"/>
      <c r="I231" s="24"/>
      <c r="J231" s="24"/>
    </row>
    <row r="232" spans="1:10">
      <c r="A232" s="23"/>
      <c r="C232" s="28"/>
      <c r="D232" s="24"/>
      <c r="E232" s="24"/>
      <c r="F232" s="24"/>
      <c r="G232" s="24"/>
      <c r="H232" s="24"/>
      <c r="I232" s="24"/>
      <c r="J232" s="24"/>
    </row>
    <row r="233" spans="1:10">
      <c r="A233" s="23"/>
      <c r="C233" s="28"/>
      <c r="D233" s="24"/>
      <c r="E233" s="24"/>
      <c r="F233" s="24"/>
      <c r="G233" s="24"/>
      <c r="H233" s="24"/>
      <c r="I233" s="24"/>
      <c r="J233" s="24"/>
    </row>
    <row r="234" spans="1:10">
      <c r="A234" s="23"/>
      <c r="C234" s="28"/>
      <c r="D234" s="24"/>
      <c r="E234" s="24"/>
      <c r="F234" s="24"/>
      <c r="G234" s="24"/>
      <c r="H234" s="24"/>
      <c r="I234" s="24"/>
      <c r="J234" s="24"/>
    </row>
    <row r="235" spans="1:10">
      <c r="A235" s="23"/>
      <c r="C235" s="28"/>
      <c r="D235" s="24"/>
      <c r="E235" s="24"/>
      <c r="F235" s="24"/>
      <c r="G235" s="24"/>
      <c r="H235" s="24"/>
      <c r="I235" s="24"/>
      <c r="J235" s="24"/>
    </row>
    <row r="236" spans="1:10">
      <c r="A236" s="23"/>
      <c r="C236" s="28"/>
      <c r="D236" s="24"/>
      <c r="E236" s="24"/>
      <c r="F236" s="24"/>
      <c r="G236" s="24"/>
      <c r="H236" s="24"/>
      <c r="I236" s="24"/>
      <c r="J236" s="24"/>
    </row>
    <row r="237" spans="1:10">
      <c r="A237" s="23"/>
      <c r="C237" s="28"/>
      <c r="D237" s="24"/>
      <c r="E237" s="24"/>
      <c r="F237" s="24"/>
      <c r="G237" s="24"/>
      <c r="H237" s="24"/>
      <c r="I237" s="24"/>
      <c r="J237" s="24"/>
    </row>
    <row r="238" spans="1:10">
      <c r="A238" s="23"/>
      <c r="C238" s="28"/>
      <c r="D238" s="24"/>
      <c r="E238" s="24"/>
      <c r="F238" s="24"/>
      <c r="G238" s="24"/>
      <c r="H238" s="24"/>
      <c r="I238" s="24"/>
      <c r="J238" s="24"/>
    </row>
    <row r="239" spans="1:10">
      <c r="A239" s="23"/>
      <c r="C239" s="28"/>
      <c r="D239" s="24"/>
      <c r="E239" s="24"/>
      <c r="F239" s="24"/>
      <c r="G239" s="24"/>
      <c r="H239" s="24"/>
      <c r="I239" s="24"/>
      <c r="J239" s="24"/>
    </row>
    <row r="240" spans="1:10">
      <c r="A240" s="23"/>
      <c r="C240" s="28"/>
      <c r="D240" s="24"/>
      <c r="E240" s="24"/>
      <c r="F240" s="24"/>
      <c r="G240" s="24"/>
      <c r="H240" s="24"/>
      <c r="I240" s="24"/>
      <c r="J240" s="24"/>
    </row>
    <row r="241" spans="1:10">
      <c r="A241" s="23"/>
      <c r="C241" s="28"/>
      <c r="D241" s="24"/>
      <c r="E241" s="24"/>
      <c r="F241" s="24"/>
      <c r="G241" s="24"/>
      <c r="H241" s="24"/>
      <c r="I241" s="24"/>
      <c r="J241" s="24"/>
    </row>
    <row r="242" spans="1:10">
      <c r="A242" s="23"/>
      <c r="C242" s="28"/>
      <c r="D242" s="24"/>
      <c r="E242" s="24"/>
      <c r="F242" s="24"/>
      <c r="G242" s="24"/>
      <c r="H242" s="24"/>
      <c r="I242" s="24"/>
      <c r="J242" s="24"/>
    </row>
    <row r="243" spans="1:10">
      <c r="A243" s="23"/>
      <c r="C243" s="28"/>
      <c r="D243" s="24"/>
      <c r="E243" s="24"/>
      <c r="F243" s="24"/>
      <c r="G243" s="24"/>
      <c r="H243" s="24"/>
      <c r="I243" s="24"/>
      <c r="J243" s="24"/>
    </row>
    <row r="244" spans="1:10">
      <c r="A244" s="23"/>
      <c r="C244" s="28"/>
      <c r="D244" s="24"/>
      <c r="E244" s="24"/>
      <c r="F244" s="24"/>
      <c r="G244" s="24"/>
      <c r="H244" s="24"/>
      <c r="I244" s="24"/>
      <c r="J244" s="24"/>
    </row>
    <row r="245" spans="1:10">
      <c r="A245" s="23"/>
      <c r="C245" s="28"/>
      <c r="D245" s="24"/>
      <c r="E245" s="24"/>
      <c r="F245" s="24"/>
      <c r="G245" s="24"/>
      <c r="H245" s="24"/>
      <c r="I245" s="24"/>
      <c r="J245" s="24"/>
    </row>
    <row r="246" spans="1:10">
      <c r="A246" s="46"/>
    </row>
    <row r="247" spans="1:10">
      <c r="A247" s="46"/>
    </row>
    <row r="248" spans="1:10">
      <c r="A248" s="46"/>
    </row>
    <row r="249" spans="1:10">
      <c r="A249" s="46"/>
    </row>
    <row r="250" spans="1:10">
      <c r="A250" s="46"/>
    </row>
    <row r="251" spans="1:10">
      <c r="A251" s="46"/>
    </row>
    <row r="252" spans="1:10">
      <c r="A252" s="46"/>
    </row>
    <row r="253" spans="1:10">
      <c r="A253" s="46"/>
    </row>
    <row r="254" spans="1:10">
      <c r="A254" s="46"/>
    </row>
    <row r="255" spans="1:10">
      <c r="A255" s="46"/>
    </row>
    <row r="256" spans="1:10">
      <c r="A256" s="46"/>
    </row>
    <row r="257" spans="1:1">
      <c r="A257" s="46"/>
    </row>
    <row r="258" spans="1:1">
      <c r="A258" s="46"/>
    </row>
    <row r="259" spans="1:1">
      <c r="A259" s="46"/>
    </row>
    <row r="260" spans="1:1">
      <c r="A260" s="46"/>
    </row>
    <row r="261" spans="1:1">
      <c r="A261" s="46"/>
    </row>
    <row r="262" spans="1:1">
      <c r="A262" s="46"/>
    </row>
    <row r="263" spans="1:1">
      <c r="A263" s="46"/>
    </row>
    <row r="264" spans="1:1">
      <c r="A264" s="46"/>
    </row>
    <row r="265" spans="1:1">
      <c r="A265" s="46"/>
    </row>
    <row r="266" spans="1:1">
      <c r="A266" s="46"/>
    </row>
    <row r="267" spans="1:1">
      <c r="A267" s="46"/>
    </row>
    <row r="268" spans="1:1">
      <c r="A268" s="46"/>
    </row>
    <row r="269" spans="1:1">
      <c r="A269" s="46"/>
    </row>
    <row r="270" spans="1:1">
      <c r="A270" s="46"/>
    </row>
    <row r="271" spans="1:1">
      <c r="A271" s="46"/>
    </row>
    <row r="272" spans="1:1">
      <c r="A272" s="46"/>
    </row>
    <row r="273" spans="1:1">
      <c r="A273" s="46"/>
    </row>
    <row r="274" spans="1:1">
      <c r="A274" s="46"/>
    </row>
    <row r="275" spans="1:1">
      <c r="A275" s="46"/>
    </row>
    <row r="276" spans="1:1">
      <c r="A276" s="46"/>
    </row>
    <row r="277" spans="1:1">
      <c r="A277" s="46"/>
    </row>
    <row r="278" spans="1:1">
      <c r="A278" s="46"/>
    </row>
    <row r="279" spans="1:1">
      <c r="A279" s="46"/>
    </row>
    <row r="280" spans="1:1">
      <c r="A280" s="46"/>
    </row>
    <row r="281" spans="1:1">
      <c r="A281" s="46"/>
    </row>
    <row r="282" spans="1:1">
      <c r="A282" s="46"/>
    </row>
    <row r="283" spans="1:1">
      <c r="A283" s="46"/>
    </row>
    <row r="284" spans="1:1">
      <c r="A284" s="46"/>
    </row>
    <row r="285" spans="1:1">
      <c r="A285" s="46"/>
    </row>
    <row r="286" spans="1:1">
      <c r="A286" s="46"/>
    </row>
    <row r="287" spans="1:1">
      <c r="A287" s="46"/>
    </row>
    <row r="288" spans="1:1">
      <c r="A288" s="46"/>
    </row>
    <row r="289" spans="1:1">
      <c r="A289" s="46"/>
    </row>
    <row r="290" spans="1:1">
      <c r="A290" s="46"/>
    </row>
    <row r="291" spans="1:1">
      <c r="A291" s="46"/>
    </row>
    <row r="292" spans="1:1">
      <c r="A292" s="46"/>
    </row>
    <row r="293" spans="1:1">
      <c r="A293" s="46"/>
    </row>
    <row r="294" spans="1:1">
      <c r="A294" s="46"/>
    </row>
    <row r="295" spans="1:1">
      <c r="A295" s="46"/>
    </row>
    <row r="296" spans="1:1">
      <c r="A296" s="46"/>
    </row>
    <row r="297" spans="1:1">
      <c r="A297" s="46"/>
    </row>
    <row r="298" spans="1:1">
      <c r="A298" s="46"/>
    </row>
    <row r="299" spans="1:1">
      <c r="A299" s="46"/>
    </row>
    <row r="300" spans="1:1">
      <c r="A300" s="46"/>
    </row>
    <row r="301" spans="1:1">
      <c r="A301" s="46"/>
    </row>
    <row r="302" spans="1:1">
      <c r="A302" s="46"/>
    </row>
    <row r="303" spans="1:1">
      <c r="A303" s="46"/>
    </row>
    <row r="304" spans="1:1">
      <c r="A304" s="46"/>
    </row>
    <row r="305" spans="1:1">
      <c r="A305" s="46"/>
    </row>
    <row r="306" spans="1:1">
      <c r="A306" s="46"/>
    </row>
    <row r="307" spans="1:1">
      <c r="A307" s="46"/>
    </row>
    <row r="308" spans="1:1">
      <c r="A308" s="46"/>
    </row>
    <row r="309" spans="1:1">
      <c r="A309" s="46"/>
    </row>
    <row r="310" spans="1:1">
      <c r="A310" s="46"/>
    </row>
    <row r="311" spans="1:1">
      <c r="A311" s="46"/>
    </row>
    <row r="312" spans="1:1">
      <c r="A312" s="46"/>
    </row>
    <row r="313" spans="1:1">
      <c r="A313" s="46"/>
    </row>
    <row r="314" spans="1:1">
      <c r="A314" s="46"/>
    </row>
    <row r="315" spans="1:1">
      <c r="A315" s="46"/>
    </row>
    <row r="316" spans="1:1">
      <c r="A316" s="46"/>
    </row>
    <row r="317" spans="1:1">
      <c r="A317" s="46"/>
    </row>
    <row r="318" spans="1:1">
      <c r="A318" s="46"/>
    </row>
    <row r="319" spans="1:1">
      <c r="A319" s="46"/>
    </row>
    <row r="320" spans="1:1">
      <c r="A320" s="46"/>
    </row>
    <row r="321" spans="1:1">
      <c r="A321" s="46"/>
    </row>
    <row r="322" spans="1:1">
      <c r="A322" s="46"/>
    </row>
    <row r="323" spans="1:1">
      <c r="A323" s="46"/>
    </row>
    <row r="324" spans="1:1">
      <c r="A324" s="46"/>
    </row>
    <row r="325" spans="1:1">
      <c r="A325" s="46"/>
    </row>
    <row r="326" spans="1:1">
      <c r="A326" s="46"/>
    </row>
    <row r="327" spans="1:1">
      <c r="A327" s="46"/>
    </row>
    <row r="328" spans="1:1">
      <c r="A328" s="46"/>
    </row>
    <row r="329" spans="1:1">
      <c r="A329" s="46"/>
    </row>
    <row r="330" spans="1:1">
      <c r="A330" s="46"/>
    </row>
    <row r="331" spans="1:1">
      <c r="A331" s="46"/>
    </row>
    <row r="332" spans="1:1">
      <c r="A332" s="46"/>
    </row>
    <row r="333" spans="1:1">
      <c r="A333" s="46"/>
    </row>
    <row r="334" spans="1:1">
      <c r="A334" s="46"/>
    </row>
    <row r="335" spans="1:1">
      <c r="A335" s="46"/>
    </row>
    <row r="336" spans="1:1">
      <c r="A336" s="46"/>
    </row>
    <row r="337" spans="1:1">
      <c r="A337" s="46"/>
    </row>
    <row r="338" spans="1:1">
      <c r="A338" s="46"/>
    </row>
    <row r="339" spans="1:1">
      <c r="A339" s="46"/>
    </row>
    <row r="340" spans="1:1">
      <c r="A340" s="46"/>
    </row>
    <row r="341" spans="1:1">
      <c r="A341" s="46"/>
    </row>
    <row r="342" spans="1:1">
      <c r="A342" s="46"/>
    </row>
    <row r="343" spans="1:1">
      <c r="A343" s="46"/>
    </row>
    <row r="344" spans="1:1">
      <c r="A344" s="46"/>
    </row>
    <row r="345" spans="1:1">
      <c r="A345" s="46"/>
    </row>
    <row r="346" spans="1:1">
      <c r="A346" s="46"/>
    </row>
    <row r="347" spans="1:1">
      <c r="A347" s="46"/>
    </row>
    <row r="348" spans="1:1">
      <c r="A348" s="46"/>
    </row>
    <row r="349" spans="1:1">
      <c r="A349" s="46"/>
    </row>
    <row r="350" spans="1:1">
      <c r="A350" s="46"/>
    </row>
    <row r="351" spans="1:1">
      <c r="A351" s="46"/>
    </row>
    <row r="352" spans="1:1">
      <c r="A352" s="46"/>
    </row>
    <row r="353" spans="1:1">
      <c r="A353" s="46"/>
    </row>
    <row r="354" spans="1:1">
      <c r="A354" s="46"/>
    </row>
    <row r="355" spans="1:1">
      <c r="A355" s="46"/>
    </row>
    <row r="356" spans="1:1">
      <c r="A356" s="46"/>
    </row>
    <row r="357" spans="1:1">
      <c r="A357" s="46"/>
    </row>
    <row r="358" spans="1:1">
      <c r="A358" s="46"/>
    </row>
    <row r="359" spans="1:1">
      <c r="A359" s="46"/>
    </row>
    <row r="360" spans="1:1">
      <c r="A360" s="46"/>
    </row>
    <row r="361" spans="1:1">
      <c r="A361" s="46"/>
    </row>
    <row r="362" spans="1:1">
      <c r="A362" s="46"/>
    </row>
    <row r="363" spans="1:1">
      <c r="A363" s="46"/>
    </row>
    <row r="364" spans="1:1">
      <c r="A364" s="46"/>
    </row>
    <row r="365" spans="1:1">
      <c r="A365" s="46"/>
    </row>
    <row r="366" spans="1:1">
      <c r="A366" s="46"/>
    </row>
    <row r="367" spans="1:1">
      <c r="A367" s="46"/>
    </row>
    <row r="368" spans="1:1">
      <c r="A368" s="46"/>
    </row>
    <row r="369" spans="1:1">
      <c r="A369" s="46"/>
    </row>
    <row r="370" spans="1:1">
      <c r="A370" s="46"/>
    </row>
    <row r="371" spans="1:1">
      <c r="A371" s="46"/>
    </row>
    <row r="372" spans="1:1">
      <c r="A372" s="46"/>
    </row>
    <row r="373" spans="1:1">
      <c r="A373" s="46"/>
    </row>
    <row r="374" spans="1:1">
      <c r="A374" s="46"/>
    </row>
    <row r="375" spans="1:1">
      <c r="A375" s="46"/>
    </row>
    <row r="376" spans="1:1">
      <c r="A376" s="46"/>
    </row>
    <row r="377" spans="1:1">
      <c r="A377" s="46"/>
    </row>
    <row r="378" spans="1:1">
      <c r="A378" s="46"/>
    </row>
    <row r="379" spans="1:1">
      <c r="A379" s="46"/>
    </row>
    <row r="380" spans="1:1">
      <c r="A380" s="46"/>
    </row>
    <row r="381" spans="1:1">
      <c r="A381" s="46"/>
    </row>
    <row r="382" spans="1:1">
      <c r="A382" s="46"/>
    </row>
    <row r="383" spans="1:1">
      <c r="A383" s="46"/>
    </row>
    <row r="384" spans="1:1">
      <c r="A384" s="46"/>
    </row>
    <row r="385" spans="1:1">
      <c r="A385" s="46"/>
    </row>
    <row r="386" spans="1:1">
      <c r="A386" s="46"/>
    </row>
    <row r="387" spans="1:1">
      <c r="A387" s="46"/>
    </row>
    <row r="388" spans="1:1">
      <c r="A388" s="46"/>
    </row>
    <row r="389" spans="1:1">
      <c r="A389" s="46"/>
    </row>
    <row r="390" spans="1:1">
      <c r="A390" s="46"/>
    </row>
    <row r="391" spans="1:1">
      <c r="A391" s="46"/>
    </row>
    <row r="392" spans="1:1">
      <c r="A392" s="46"/>
    </row>
    <row r="393" spans="1:1">
      <c r="A393" s="46"/>
    </row>
    <row r="394" spans="1:1">
      <c r="A394" s="46"/>
    </row>
    <row r="395" spans="1:1">
      <c r="A395" s="46"/>
    </row>
    <row r="396" spans="1:1">
      <c r="A396" s="46"/>
    </row>
    <row r="397" spans="1:1">
      <c r="A397" s="46"/>
    </row>
    <row r="398" spans="1:1">
      <c r="A398" s="46"/>
    </row>
    <row r="399" spans="1:1">
      <c r="A399" s="46"/>
    </row>
    <row r="400" spans="1:1">
      <c r="A400" s="46"/>
    </row>
    <row r="401" spans="1:1">
      <c r="A401" s="46"/>
    </row>
    <row r="402" spans="1:1">
      <c r="A402" s="46"/>
    </row>
    <row r="403" spans="1:1">
      <c r="A403" s="46"/>
    </row>
    <row r="404" spans="1:1">
      <c r="A404" s="46"/>
    </row>
    <row r="405" spans="1:1">
      <c r="A405" s="46"/>
    </row>
    <row r="406" spans="1:1">
      <c r="A406" s="46"/>
    </row>
    <row r="407" spans="1:1">
      <c r="A407" s="46"/>
    </row>
    <row r="408" spans="1:1">
      <c r="A408" s="46"/>
    </row>
    <row r="409" spans="1:1">
      <c r="A409" s="46"/>
    </row>
    <row r="410" spans="1:1">
      <c r="A410" s="46"/>
    </row>
    <row r="411" spans="1:1">
      <c r="A411" s="46"/>
    </row>
    <row r="412" spans="1:1">
      <c r="A412" s="46"/>
    </row>
  </sheetData>
  <mergeCells count="28">
    <mergeCell ref="A179:K179"/>
    <mergeCell ref="E3:E4"/>
    <mergeCell ref="F3:F4"/>
    <mergeCell ref="D3:D4"/>
    <mergeCell ref="A1:K1"/>
    <mergeCell ref="K3:K4"/>
    <mergeCell ref="A6:K6"/>
    <mergeCell ref="A173:K173"/>
    <mergeCell ref="B3:B4"/>
    <mergeCell ref="A3:A4"/>
    <mergeCell ref="C3:C4"/>
    <mergeCell ref="G3:J3"/>
    <mergeCell ref="C189:D189"/>
    <mergeCell ref="E189:G189"/>
    <mergeCell ref="C190:D190"/>
    <mergeCell ref="E190:G190"/>
    <mergeCell ref="C191:D191"/>
    <mergeCell ref="E191:G191"/>
    <mergeCell ref="C196:D196"/>
    <mergeCell ref="E196:G196"/>
    <mergeCell ref="C192:D192"/>
    <mergeCell ref="E192:G192"/>
    <mergeCell ref="C193:D193"/>
    <mergeCell ref="E193:G193"/>
    <mergeCell ref="C194:D194"/>
    <mergeCell ref="E194:G194"/>
    <mergeCell ref="C195:D195"/>
    <mergeCell ref="E195:G195"/>
  </mergeCells>
  <phoneticPr fontId="0" type="noConversion"/>
  <printOptions verticalCentered="1"/>
  <pageMargins left="0.59055118110236227" right="0.19685039370078741" top="0.47244094488188981" bottom="0.39370078740157483" header="0.19685039370078741" footer="0.11811023622047245"/>
  <pageSetup paperSize="9" scale="59" fitToHeight="4" orientation="portrait" verticalDpi="300" r:id="rId1"/>
  <headerFooter alignWithMargins="0"/>
  <rowBreaks count="2" manualBreakCount="2">
    <brk id="51" max="10" man="1"/>
    <brk id="95" max="10" man="1"/>
  </rowBreaks>
  <ignoredErrors>
    <ignoredError sqref="F187 F14 F167:F172 F42 F54 F153 F10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193"/>
  <sheetViews>
    <sheetView tabSelected="1" view="pageBreakPreview" topLeftCell="A30" zoomScaleNormal="65" zoomScaleSheetLayoutView="100" workbookViewId="0">
      <selection activeCell="A2" sqref="A2:J2"/>
    </sheetView>
  </sheetViews>
  <sheetFormatPr defaultColWidth="77.85546875" defaultRowHeight="18.75" outlineLevelRow="1"/>
  <cols>
    <col min="1" max="1" width="45.5703125" style="40" customWidth="1"/>
    <col min="2" max="2" width="5.5703125" style="43" customWidth="1"/>
    <col min="3" max="3" width="11.85546875" style="43" customWidth="1"/>
    <col min="4" max="4" width="13.5703125" style="43" customWidth="1"/>
    <col min="5" max="5" width="12.85546875" style="43" customWidth="1"/>
    <col min="6" max="6" width="12.85546875" style="40" customWidth="1"/>
    <col min="7" max="7" width="12.140625" style="40" customWidth="1"/>
    <col min="8" max="8" width="13" style="40" customWidth="1"/>
    <col min="9" max="9" width="12.42578125" style="40" customWidth="1"/>
    <col min="10" max="10" width="13.28515625" style="40" customWidth="1"/>
    <col min="11" max="11" width="10" style="40" customWidth="1"/>
    <col min="12" max="12" width="9.5703125" style="40" customWidth="1"/>
    <col min="13" max="255" width="9.140625" style="40" customWidth="1"/>
    <col min="256" max="16384" width="77.85546875" style="40"/>
  </cols>
  <sheetData>
    <row r="1" spans="1:10" hidden="1"/>
    <row r="2" spans="1:10" ht="32.25" customHeight="1">
      <c r="A2" s="587" t="s">
        <v>808</v>
      </c>
      <c r="B2" s="587"/>
      <c r="C2" s="587"/>
      <c r="D2" s="587"/>
      <c r="E2" s="587"/>
      <c r="F2" s="587"/>
      <c r="G2" s="587"/>
      <c r="H2" s="587"/>
      <c r="I2" s="587"/>
      <c r="J2" s="587"/>
    </row>
    <row r="3" spans="1:10" ht="9" customHeight="1" outlineLevel="1">
      <c r="A3" s="39"/>
      <c r="B3" s="47"/>
      <c r="C3" s="39"/>
      <c r="D3" s="39"/>
      <c r="E3" s="39"/>
      <c r="F3" s="39"/>
      <c r="G3" s="39"/>
      <c r="H3" s="39"/>
      <c r="I3" s="39"/>
      <c r="J3" s="39"/>
    </row>
    <row r="4" spans="1:10" ht="29.25" customHeight="1">
      <c r="A4" s="557" t="s">
        <v>873</v>
      </c>
      <c r="B4" s="588" t="s">
        <v>677</v>
      </c>
      <c r="C4" s="589" t="s">
        <v>690</v>
      </c>
      <c r="D4" s="589" t="s">
        <v>697</v>
      </c>
      <c r="E4" s="590" t="s">
        <v>812</v>
      </c>
      <c r="F4" s="567" t="s">
        <v>680</v>
      </c>
      <c r="G4" s="567" t="s">
        <v>823</v>
      </c>
      <c r="H4" s="567"/>
      <c r="I4" s="567"/>
      <c r="J4" s="567"/>
    </row>
    <row r="5" spans="1:10" ht="48.75" customHeight="1">
      <c r="A5" s="557"/>
      <c r="B5" s="588"/>
      <c r="C5" s="589"/>
      <c r="D5" s="589"/>
      <c r="E5" s="590"/>
      <c r="F5" s="567"/>
      <c r="G5" s="12" t="s">
        <v>824</v>
      </c>
      <c r="H5" s="12" t="s">
        <v>825</v>
      </c>
      <c r="I5" s="12" t="s">
        <v>826</v>
      </c>
      <c r="J5" s="12" t="s">
        <v>735</v>
      </c>
    </row>
    <row r="6" spans="1:10" ht="14.25" customHeight="1">
      <c r="A6" s="125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  <c r="H6" s="126">
        <v>8</v>
      </c>
      <c r="I6" s="126">
        <v>9</v>
      </c>
      <c r="J6" s="126">
        <v>10</v>
      </c>
    </row>
    <row r="7" spans="1:10" ht="24.95" customHeight="1">
      <c r="A7" s="585" t="s">
        <v>804</v>
      </c>
      <c r="B7" s="585"/>
      <c r="C7" s="585"/>
      <c r="D7" s="585"/>
      <c r="E7" s="585"/>
      <c r="F7" s="585"/>
      <c r="G7" s="585"/>
      <c r="H7" s="585"/>
      <c r="I7" s="585"/>
      <c r="J7" s="585"/>
    </row>
    <row r="8" spans="1:10" ht="58.5" customHeight="1">
      <c r="A8" s="41" t="s">
        <v>719</v>
      </c>
      <c r="B8" s="110">
        <v>2000</v>
      </c>
      <c r="C8" s="92">
        <v>-60741</v>
      </c>
      <c r="D8" s="238">
        <v>-90238.3986</v>
      </c>
      <c r="E8" s="238">
        <f>C16</f>
        <v>-89972.987500000017</v>
      </c>
      <c r="F8" s="351">
        <f>E16</f>
        <v>-132612.55172857144</v>
      </c>
      <c r="G8" s="238">
        <f>F8</f>
        <v>-132612.55172857144</v>
      </c>
      <c r="H8" s="238">
        <f>G16</f>
        <v>-140870.45172857144</v>
      </c>
      <c r="I8" s="238">
        <f>H16</f>
        <v>-146841.43813817145</v>
      </c>
      <c r="J8" s="238">
        <f>I16</f>
        <v>-157155.43813817145</v>
      </c>
    </row>
    <row r="9" spans="1:10" ht="38.25" customHeight="1">
      <c r="A9" s="41" t="s">
        <v>1033</v>
      </c>
      <c r="B9" s="110">
        <v>2010</v>
      </c>
      <c r="C9" s="208"/>
      <c r="D9" s="92">
        <v>0</v>
      </c>
      <c r="E9" s="92">
        <v>0</v>
      </c>
      <c r="F9" s="96">
        <f t="shared" ref="F9:F43" si="0">SUM(G9:J9)</f>
        <v>0</v>
      </c>
      <c r="G9" s="92">
        <v>0</v>
      </c>
      <c r="H9" s="92">
        <v>0</v>
      </c>
      <c r="I9" s="92">
        <v>0</v>
      </c>
      <c r="J9" s="92">
        <v>0</v>
      </c>
    </row>
    <row r="10" spans="1:10" ht="24" customHeight="1">
      <c r="A10" s="8" t="s">
        <v>829</v>
      </c>
      <c r="B10" s="110">
        <v>2020</v>
      </c>
      <c r="C10" s="92"/>
      <c r="D10" s="92"/>
      <c r="E10" s="92"/>
      <c r="F10" s="96">
        <f t="shared" si="0"/>
        <v>0</v>
      </c>
      <c r="G10" s="92"/>
      <c r="H10" s="92"/>
      <c r="I10" s="92"/>
      <c r="J10" s="92"/>
    </row>
    <row r="11" spans="1:10" s="42" customFormat="1" ht="24" customHeight="1">
      <c r="A11" s="41" t="s">
        <v>731</v>
      </c>
      <c r="B11" s="110">
        <v>2030</v>
      </c>
      <c r="C11" s="208">
        <v>0</v>
      </c>
      <c r="D11" s="208">
        <v>0</v>
      </c>
      <c r="E11" s="208">
        <v>0</v>
      </c>
      <c r="F11" s="96">
        <f t="shared" si="0"/>
        <v>0</v>
      </c>
      <c r="G11" s="208">
        <v>0</v>
      </c>
      <c r="H11" s="208">
        <v>0</v>
      </c>
      <c r="I11" s="208">
        <v>0</v>
      </c>
      <c r="J11" s="208">
        <v>0</v>
      </c>
    </row>
    <row r="12" spans="1:10" ht="30" customHeight="1">
      <c r="A12" s="122" t="s">
        <v>790</v>
      </c>
      <c r="B12" s="110">
        <v>2031</v>
      </c>
      <c r="C12" s="247">
        <v>0</v>
      </c>
      <c r="D12" s="247">
        <v>0</v>
      </c>
      <c r="E12" s="247">
        <v>0</v>
      </c>
      <c r="F12" s="181">
        <f t="shared" si="0"/>
        <v>0</v>
      </c>
      <c r="G12" s="247">
        <v>0</v>
      </c>
      <c r="H12" s="247">
        <v>0</v>
      </c>
      <c r="I12" s="247">
        <v>0</v>
      </c>
      <c r="J12" s="247">
        <v>0</v>
      </c>
    </row>
    <row r="13" spans="1:10" ht="24" customHeight="1">
      <c r="A13" s="41" t="s">
        <v>686</v>
      </c>
      <c r="B13" s="110">
        <v>2040</v>
      </c>
      <c r="C13" s="208">
        <v>0</v>
      </c>
      <c r="D13" s="208">
        <v>0</v>
      </c>
      <c r="E13" s="208">
        <v>0</v>
      </c>
      <c r="F13" s="96">
        <f t="shared" si="0"/>
        <v>0</v>
      </c>
      <c r="G13" s="208">
        <v>0</v>
      </c>
      <c r="H13" s="208">
        <v>0</v>
      </c>
      <c r="I13" s="208">
        <v>0</v>
      </c>
      <c r="J13" s="208">
        <v>0</v>
      </c>
    </row>
    <row r="14" spans="1:10" ht="21.75" customHeight="1">
      <c r="A14" s="41" t="s">
        <v>776</v>
      </c>
      <c r="B14" s="110">
        <v>2050</v>
      </c>
      <c r="C14" s="208">
        <v>0</v>
      </c>
      <c r="D14" s="208">
        <v>0</v>
      </c>
      <c r="E14" s="208">
        <v>0</v>
      </c>
      <c r="F14" s="96">
        <f t="shared" si="0"/>
        <v>0</v>
      </c>
      <c r="G14" s="208">
        <v>0</v>
      </c>
      <c r="H14" s="208">
        <v>0</v>
      </c>
      <c r="I14" s="208">
        <v>0</v>
      </c>
      <c r="J14" s="208">
        <v>0</v>
      </c>
    </row>
    <row r="15" spans="1:10" ht="23.25" customHeight="1">
      <c r="A15" s="41" t="s">
        <v>777</v>
      </c>
      <c r="B15" s="110">
        <v>2060</v>
      </c>
      <c r="C15" s="208">
        <v>0</v>
      </c>
      <c r="D15" s="208">
        <v>0</v>
      </c>
      <c r="E15" s="208">
        <v>0</v>
      </c>
      <c r="F15" s="96">
        <f t="shared" si="0"/>
        <v>0</v>
      </c>
      <c r="G15" s="208">
        <v>0</v>
      </c>
      <c r="H15" s="208">
        <v>0</v>
      </c>
      <c r="I15" s="208">
        <v>0</v>
      </c>
      <c r="J15" s="208">
        <v>0</v>
      </c>
    </row>
    <row r="16" spans="1:10" ht="56.25" customHeight="1">
      <c r="A16" s="53" t="s">
        <v>720</v>
      </c>
      <c r="B16" s="120">
        <v>2070</v>
      </c>
      <c r="C16" s="338">
        <f ca="1">SUM(C8,C9,C10,C11,C13,C14,C15)+'I. Фін результат'!C169</f>
        <v>-89972.987500000017</v>
      </c>
      <c r="D16" s="338">
        <f ca="1">SUM(D8,D9,D10,D11,D13,D14,D15)+'I. Фін результат'!D169</f>
        <v>-138692.07873513142</v>
      </c>
      <c r="E16" s="338">
        <f ca="1">SUM(E8,E9,E10,E11,E13,E14,E15)+'I. Фін результат'!E169</f>
        <v>-132612.55172857144</v>
      </c>
      <c r="F16" s="338">
        <f ca="1">SUM(F8,F9,F10,F11,F13,F14,F15)+'I. Фін результат'!F169</f>
        <v>-166704.62454777147</v>
      </c>
      <c r="G16" s="338">
        <f ca="1">SUM(G8,G9,G10,G11,G13,G14,G15)+'I. Фін результат'!G169</f>
        <v>-140870.45172857144</v>
      </c>
      <c r="H16" s="338">
        <f ca="1">SUM(H8,H9,H10,H11,H13,H14,H15)+'I. Фін результат'!H169</f>
        <v>-146841.43813817145</v>
      </c>
      <c r="I16" s="338">
        <f ca="1">SUM(I8,I9,I10,I11,I13,I14,I15)+'I. Фін результат'!I169</f>
        <v>-157155.43813817145</v>
      </c>
      <c r="J16" s="338">
        <f ca="1">SUM(J8,J9,J10,J11,J13,J14,J15)+'I. Фін результат'!J169</f>
        <v>-166704.62454777144</v>
      </c>
    </row>
    <row r="17" spans="1:11" ht="44.25" customHeight="1">
      <c r="A17" s="585" t="s">
        <v>805</v>
      </c>
      <c r="B17" s="585"/>
      <c r="C17" s="585"/>
      <c r="D17" s="585"/>
      <c r="E17" s="585"/>
      <c r="F17" s="585"/>
      <c r="G17" s="585"/>
      <c r="H17" s="585"/>
      <c r="I17" s="585"/>
      <c r="J17" s="585"/>
    </row>
    <row r="18" spans="1:11" ht="36" customHeight="1">
      <c r="A18" s="41" t="s">
        <v>945</v>
      </c>
      <c r="B18" s="110">
        <v>2100</v>
      </c>
      <c r="C18" s="239"/>
      <c r="D18" s="239">
        <v>0</v>
      </c>
      <c r="E18" s="239">
        <f>D18</f>
        <v>0</v>
      </c>
      <c r="F18" s="100">
        <f t="shared" si="0"/>
        <v>0</v>
      </c>
      <c r="G18" s="100"/>
      <c r="H18" s="100"/>
      <c r="I18" s="100"/>
      <c r="J18" s="100"/>
    </row>
    <row r="19" spans="1:11" s="42" customFormat="1" ht="24" customHeight="1">
      <c r="A19" s="41" t="s">
        <v>807</v>
      </c>
      <c r="B19" s="108">
        <v>2110</v>
      </c>
      <c r="C19" s="92">
        <v>0</v>
      </c>
      <c r="D19" s="92">
        <v>0</v>
      </c>
      <c r="E19" s="92">
        <v>0</v>
      </c>
      <c r="F19" s="96">
        <f t="shared" si="0"/>
        <v>0</v>
      </c>
      <c r="G19" s="92"/>
      <c r="H19" s="92"/>
      <c r="I19" s="92"/>
      <c r="J19" s="92"/>
    </row>
    <row r="20" spans="1:11" ht="51.75" customHeight="1">
      <c r="A20" s="259" t="s">
        <v>921</v>
      </c>
      <c r="B20" s="108">
        <v>2120</v>
      </c>
      <c r="C20" s="459">
        <v>6516</v>
      </c>
      <c r="D20" s="208">
        <v>10560</v>
      </c>
      <c r="E20" s="208">
        <f>1338.5+906+300+600+600+900*5</f>
        <v>8244.5</v>
      </c>
      <c r="F20" s="183">
        <f t="shared" si="0"/>
        <v>12000</v>
      </c>
      <c r="G20" s="208">
        <f>1000*3</f>
        <v>3000</v>
      </c>
      <c r="H20" s="208">
        <f>1000*3</f>
        <v>3000</v>
      </c>
      <c r="I20" s="208">
        <f>1000*3</f>
        <v>3000</v>
      </c>
      <c r="J20" s="208">
        <f>1000*3</f>
        <v>3000</v>
      </c>
    </row>
    <row r="21" spans="1:11" ht="51" customHeight="1">
      <c r="A21" s="259" t="s">
        <v>922</v>
      </c>
      <c r="B21" s="108">
        <v>2130</v>
      </c>
      <c r="C21" s="92">
        <v>0</v>
      </c>
      <c r="D21" s="92">
        <v>0</v>
      </c>
      <c r="E21" s="92">
        <v>0</v>
      </c>
      <c r="F21" s="96">
        <f>SUM(G21:J21)</f>
        <v>0</v>
      </c>
      <c r="G21" s="92">
        <v>0</v>
      </c>
      <c r="H21" s="92">
        <v>0</v>
      </c>
      <c r="I21" s="92">
        <v>0</v>
      </c>
      <c r="J21" s="92">
        <v>0</v>
      </c>
    </row>
    <row r="22" spans="1:11" hidden="1">
      <c r="A22" s="41"/>
      <c r="B22" s="108"/>
      <c r="C22" s="92"/>
      <c r="D22" s="92"/>
      <c r="E22" s="92"/>
      <c r="F22" s="96"/>
      <c r="G22" s="92"/>
      <c r="H22" s="92"/>
      <c r="I22" s="92"/>
      <c r="J22" s="92"/>
    </row>
    <row r="23" spans="1:11" hidden="1">
      <c r="A23" s="41"/>
      <c r="B23" s="108"/>
      <c r="C23" s="92"/>
      <c r="D23" s="92"/>
      <c r="E23" s="92"/>
      <c r="F23" s="96"/>
      <c r="G23" s="92"/>
      <c r="H23" s="92"/>
      <c r="I23" s="92"/>
      <c r="J23" s="92"/>
    </row>
    <row r="24" spans="1:11" s="44" customFormat="1" ht="58.5" customHeight="1">
      <c r="A24" s="53" t="s">
        <v>865</v>
      </c>
      <c r="B24" s="121">
        <v>2140</v>
      </c>
      <c r="C24" s="248">
        <f>SUM(C25:C29)+SUM(C32)+C37</f>
        <v>9447.7999999999993</v>
      </c>
      <c r="D24" s="248">
        <f>SUM(D25:D29,D32,D37)</f>
        <v>12947.999</v>
      </c>
      <c r="E24" s="248">
        <f>SUM(E25:E29,E32,E37)</f>
        <v>12712.449999999999</v>
      </c>
      <c r="F24" s="248">
        <f t="shared" si="0"/>
        <v>14389.085999999999</v>
      </c>
      <c r="G24" s="248">
        <f>SUM(G25:G29,G32,G37)</f>
        <v>3289.7955000000002</v>
      </c>
      <c r="H24" s="248">
        <f>SUM(H25:H29,H32,H37)</f>
        <v>3289.7955000000002</v>
      </c>
      <c r="I24" s="248">
        <f>SUM(I25:I29,I32,I37)</f>
        <v>3904.7474999999999</v>
      </c>
      <c r="J24" s="248">
        <f>SUM(J25:J29,J32,J37)</f>
        <v>3904.7474999999999</v>
      </c>
      <c r="K24" s="40"/>
    </row>
    <row r="25" spans="1:11" ht="20.100000000000001" customHeight="1">
      <c r="A25" s="122" t="s">
        <v>747</v>
      </c>
      <c r="B25" s="108">
        <v>2141</v>
      </c>
      <c r="C25" s="92"/>
      <c r="D25" s="92"/>
      <c r="E25" s="92"/>
      <c r="F25" s="96">
        <f t="shared" si="0"/>
        <v>0</v>
      </c>
      <c r="G25" s="92"/>
      <c r="H25" s="92"/>
      <c r="I25" s="92"/>
      <c r="J25" s="92"/>
    </row>
    <row r="26" spans="1:11" ht="20.100000000000001" customHeight="1">
      <c r="A26" s="122" t="s">
        <v>766</v>
      </c>
      <c r="B26" s="108">
        <v>2142</v>
      </c>
      <c r="C26" s="92"/>
      <c r="D26" s="92"/>
      <c r="E26" s="92"/>
      <c r="F26" s="96">
        <f t="shared" si="0"/>
        <v>0</v>
      </c>
      <c r="G26" s="92"/>
      <c r="H26" s="92"/>
      <c r="I26" s="92"/>
      <c r="J26" s="92"/>
    </row>
    <row r="27" spans="1:11" ht="20.100000000000001" customHeight="1">
      <c r="A27" s="122" t="s">
        <v>760</v>
      </c>
      <c r="B27" s="108">
        <v>2143</v>
      </c>
      <c r="C27" s="92"/>
      <c r="D27" s="92"/>
      <c r="E27" s="92"/>
      <c r="F27" s="96">
        <f t="shared" si="0"/>
        <v>0</v>
      </c>
      <c r="G27" s="92"/>
      <c r="H27" s="92"/>
      <c r="I27" s="92"/>
      <c r="J27" s="92"/>
    </row>
    <row r="28" spans="1:11" ht="20.100000000000001" customHeight="1">
      <c r="A28" s="122" t="s">
        <v>745</v>
      </c>
      <c r="B28" s="108">
        <v>2144</v>
      </c>
      <c r="C28" s="208">
        <f>2764.9+1524.8+1540.5</f>
        <v>5830.2</v>
      </c>
      <c r="D28" s="208">
        <v>8555.0760000000009</v>
      </c>
      <c r="E28" s="208">
        <f ca="1">'I. Фін результат'!E183*0.18</f>
        <v>8263.7999999999993</v>
      </c>
      <c r="F28" s="183">
        <f t="shared" si="0"/>
        <v>9571.4639999999999</v>
      </c>
      <c r="G28" s="208">
        <f ca="1">'I. Фін результат'!G183*0.18</f>
        <v>2109.0419999999999</v>
      </c>
      <c r="H28" s="208">
        <f ca="1">'I. Фін результат'!H183*0.18</f>
        <v>2109.0419999999999</v>
      </c>
      <c r="I28" s="208">
        <f ca="1">'I. Фін результат'!I183*0.18</f>
        <v>2676.69</v>
      </c>
      <c r="J28" s="208">
        <f ca="1">'I. Фін результат'!J183*0.18</f>
        <v>2676.69</v>
      </c>
    </row>
    <row r="29" spans="1:11" s="42" customFormat="1" ht="20.100000000000001" customHeight="1">
      <c r="A29" s="122" t="s">
        <v>816</v>
      </c>
      <c r="B29" s="108">
        <v>2145</v>
      </c>
      <c r="C29" s="208">
        <f>SUM(C30:C31)</f>
        <v>0</v>
      </c>
      <c r="D29" s="208">
        <f>SUM(D30:D31)</f>
        <v>0</v>
      </c>
      <c r="E29" s="208">
        <f>SUM(E30:E31)</f>
        <v>0</v>
      </c>
      <c r="F29" s="96">
        <f t="shared" si="0"/>
        <v>0</v>
      </c>
      <c r="G29" s="92"/>
      <c r="H29" s="92"/>
      <c r="I29" s="92"/>
      <c r="J29" s="92"/>
    </row>
    <row r="30" spans="1:11" ht="61.5" customHeight="1">
      <c r="A30" s="123" t="s">
        <v>870</v>
      </c>
      <c r="B30" s="124" t="s">
        <v>853</v>
      </c>
      <c r="C30" s="92">
        <v>0</v>
      </c>
      <c r="D30" s="92">
        <v>0</v>
      </c>
      <c r="E30" s="92">
        <v>0</v>
      </c>
      <c r="F30" s="96">
        <f t="shared" si="0"/>
        <v>0</v>
      </c>
      <c r="G30" s="92"/>
      <c r="H30" s="92"/>
      <c r="I30" s="92"/>
      <c r="J30" s="92"/>
    </row>
    <row r="31" spans="1:11" ht="18.75" customHeight="1">
      <c r="A31" s="123" t="s">
        <v>687</v>
      </c>
      <c r="B31" s="124" t="s">
        <v>854</v>
      </c>
      <c r="C31" s="92">
        <v>0</v>
      </c>
      <c r="D31" s="92">
        <v>0</v>
      </c>
      <c r="E31" s="92">
        <v>0</v>
      </c>
      <c r="F31" s="96">
        <f t="shared" si="0"/>
        <v>0</v>
      </c>
      <c r="G31" s="92"/>
      <c r="H31" s="92"/>
      <c r="I31" s="92"/>
      <c r="J31" s="92"/>
    </row>
    <row r="32" spans="1:11" s="42" customFormat="1" ht="20.100000000000001" customHeight="1">
      <c r="A32" s="122" t="s">
        <v>779</v>
      </c>
      <c r="B32" s="108">
        <v>2146</v>
      </c>
      <c r="C32" s="208">
        <f>C33+C34+C35</f>
        <v>1921.1</v>
      </c>
      <c r="D32" s="208">
        <f>D33+D34+D35</f>
        <v>2232.9229999999998</v>
      </c>
      <c r="E32" s="208">
        <f>E33+E34+E35</f>
        <v>2288.65</v>
      </c>
      <c r="F32" s="183">
        <f t="shared" si="0"/>
        <v>2557.6219999999998</v>
      </c>
      <c r="G32" s="208">
        <f>G33+G34+G35</f>
        <v>615.75350000000003</v>
      </c>
      <c r="H32" s="208">
        <f>H33+H34+H35</f>
        <v>615.75350000000003</v>
      </c>
      <c r="I32" s="208">
        <f>I33+I34+I35</f>
        <v>663.0575</v>
      </c>
      <c r="J32" s="208">
        <f>J33+J34+J35</f>
        <v>663.0575</v>
      </c>
    </row>
    <row r="33" spans="1:12" s="42" customFormat="1" ht="20.100000000000001" customHeight="1">
      <c r="A33" s="41" t="s">
        <v>1276</v>
      </c>
      <c r="B33" s="237" t="s">
        <v>1277</v>
      </c>
      <c r="C33" s="208">
        <f>289.3+159+160.8</f>
        <v>609.1</v>
      </c>
      <c r="D33" s="208">
        <v>712.923</v>
      </c>
      <c r="E33" s="208">
        <f ca="1">'I. Фін результат'!E183*0.015</f>
        <v>688.65</v>
      </c>
      <c r="F33" s="183">
        <f t="shared" si="0"/>
        <v>797.62199999999996</v>
      </c>
      <c r="G33" s="208">
        <f ca="1">'I. Фін результат'!G183*0.015</f>
        <v>175.75349999999997</v>
      </c>
      <c r="H33" s="208">
        <f ca="1">'I. Фін результат'!H183*0.015</f>
        <v>175.75349999999997</v>
      </c>
      <c r="I33" s="208">
        <f ca="1">'I. Фін результат'!I183*0.015</f>
        <v>223.05750000000003</v>
      </c>
      <c r="J33" s="208">
        <f ca="1">'I. Фін результат'!J183*0.015</f>
        <v>223.05750000000003</v>
      </c>
    </row>
    <row r="34" spans="1:12" s="42" customFormat="1" ht="20.100000000000001" customHeight="1">
      <c r="A34" s="41" t="s">
        <v>1278</v>
      </c>
      <c r="B34" s="237" t="s">
        <v>1279</v>
      </c>
      <c r="C34" s="208">
        <v>651</v>
      </c>
      <c r="D34" s="208">
        <v>680</v>
      </c>
      <c r="E34" s="208">
        <v>720</v>
      </c>
      <c r="F34" s="183">
        <f t="shared" si="0"/>
        <v>800</v>
      </c>
      <c r="G34" s="208">
        <v>200</v>
      </c>
      <c r="H34" s="208">
        <v>200</v>
      </c>
      <c r="I34" s="208">
        <v>200</v>
      </c>
      <c r="J34" s="208">
        <v>200</v>
      </c>
    </row>
    <row r="35" spans="1:12" s="42" customFormat="1" ht="35.25" customHeight="1">
      <c r="A35" s="122" t="s">
        <v>1280</v>
      </c>
      <c r="B35" s="237" t="s">
        <v>1281</v>
      </c>
      <c r="C35" s="208">
        <v>661</v>
      </c>
      <c r="D35" s="208">
        <v>840</v>
      </c>
      <c r="E35" s="208">
        <v>880</v>
      </c>
      <c r="F35" s="183">
        <f t="shared" si="0"/>
        <v>960</v>
      </c>
      <c r="G35" s="208">
        <v>240</v>
      </c>
      <c r="H35" s="208">
        <v>240</v>
      </c>
      <c r="I35" s="208">
        <v>240</v>
      </c>
      <c r="J35" s="208">
        <v>240</v>
      </c>
    </row>
    <row r="36" spans="1:12" s="42" customFormat="1" ht="20.100000000000001" hidden="1" customHeight="1">
      <c r="A36" s="122"/>
      <c r="B36" s="237"/>
      <c r="C36" s="208"/>
      <c r="D36" s="92"/>
      <c r="E36" s="92"/>
      <c r="F36" s="183"/>
      <c r="G36" s="92"/>
      <c r="H36" s="92"/>
      <c r="I36" s="92"/>
      <c r="J36" s="92"/>
    </row>
    <row r="37" spans="1:12" ht="20.100000000000001" customHeight="1">
      <c r="A37" s="122" t="s">
        <v>752</v>
      </c>
      <c r="B37" s="108">
        <v>2147</v>
      </c>
      <c r="C37" s="208">
        <f>C38</f>
        <v>1696.5</v>
      </c>
      <c r="D37" s="208">
        <f>D38</f>
        <v>2160</v>
      </c>
      <c r="E37" s="208">
        <f>E38</f>
        <v>2160</v>
      </c>
      <c r="F37" s="183">
        <f t="shared" si="0"/>
        <v>2260</v>
      </c>
      <c r="G37" s="208">
        <f>G38</f>
        <v>565</v>
      </c>
      <c r="H37" s="208">
        <f>H38</f>
        <v>565</v>
      </c>
      <c r="I37" s="208">
        <f>I38</f>
        <v>565</v>
      </c>
      <c r="J37" s="208">
        <f>J38</f>
        <v>565</v>
      </c>
    </row>
    <row r="38" spans="1:12" ht="20.100000000000001" customHeight="1">
      <c r="A38" s="41" t="s">
        <v>1282</v>
      </c>
      <c r="B38" s="237" t="s">
        <v>1283</v>
      </c>
      <c r="C38" s="208">
        <v>1696.5</v>
      </c>
      <c r="D38" s="208">
        <v>2160</v>
      </c>
      <c r="E38" s="208">
        <v>2160</v>
      </c>
      <c r="F38" s="183">
        <f t="shared" si="0"/>
        <v>2260</v>
      </c>
      <c r="G38" s="208">
        <v>565</v>
      </c>
      <c r="H38" s="208">
        <v>565</v>
      </c>
      <c r="I38" s="208">
        <v>565</v>
      </c>
      <c r="J38" s="208">
        <v>565</v>
      </c>
    </row>
    <row r="39" spans="1:12" ht="20.100000000000001" hidden="1" customHeight="1">
      <c r="A39" s="41"/>
      <c r="B39" s="237"/>
      <c r="C39" s="208"/>
      <c r="D39" s="208"/>
      <c r="E39" s="208"/>
      <c r="F39" s="96"/>
      <c r="G39" s="208"/>
      <c r="H39" s="208"/>
      <c r="I39" s="208"/>
      <c r="J39" s="208"/>
    </row>
    <row r="40" spans="1:12" ht="20.100000000000001" hidden="1" customHeight="1">
      <c r="A40" s="41"/>
      <c r="B40" s="237"/>
      <c r="C40" s="208"/>
      <c r="D40" s="208"/>
      <c r="E40" s="208"/>
      <c r="F40" s="96"/>
      <c r="G40" s="208"/>
      <c r="H40" s="208"/>
      <c r="I40" s="208"/>
      <c r="J40" s="208"/>
    </row>
    <row r="41" spans="1:12" ht="20.100000000000001" hidden="1" customHeight="1">
      <c r="A41" s="41"/>
      <c r="B41" s="237"/>
      <c r="C41" s="208"/>
      <c r="D41" s="208"/>
      <c r="E41" s="208"/>
      <c r="F41" s="96"/>
      <c r="G41" s="208"/>
      <c r="H41" s="208"/>
      <c r="I41" s="208"/>
      <c r="J41" s="208"/>
    </row>
    <row r="42" spans="1:12" s="42" customFormat="1" ht="33">
      <c r="A42" s="259" t="s">
        <v>746</v>
      </c>
      <c r="B42" s="108">
        <v>2150</v>
      </c>
      <c r="C42" s="208">
        <v>14360</v>
      </c>
      <c r="D42" s="208">
        <v>10456.4</v>
      </c>
      <c r="E42" s="208">
        <f ca="1">'I. Фін результат'!E184</f>
        <v>10304</v>
      </c>
      <c r="F42" s="183">
        <f t="shared" si="0"/>
        <v>11698.6</v>
      </c>
      <c r="G42" s="208">
        <f ca="1">'I. Фін результат'!G184</f>
        <v>2577.6999999999998</v>
      </c>
      <c r="H42" s="208">
        <f ca="1">'I. Фін результат'!H184</f>
        <v>2577.6999999999998</v>
      </c>
      <c r="I42" s="208">
        <f ca="1">'I. Фін результат'!I184</f>
        <v>3271.6000000000004</v>
      </c>
      <c r="J42" s="208">
        <f ca="1">'I. Фін результат'!J184</f>
        <v>3271.6000000000004</v>
      </c>
    </row>
    <row r="43" spans="1:12" s="42" customFormat="1" ht="27.75" customHeight="1">
      <c r="A43" s="53" t="s">
        <v>875</v>
      </c>
      <c r="B43" s="121">
        <v>2200</v>
      </c>
      <c r="C43" s="249">
        <f>SUM(C18,C19:C21,C24,C42)</f>
        <v>30323.8</v>
      </c>
      <c r="D43" s="249">
        <f>SUM(D18,D19:D21,D24,D42)</f>
        <v>33964.398999999998</v>
      </c>
      <c r="E43" s="249">
        <f>SUM(E18,E19:E21,E24,E42)</f>
        <v>31260.949999999997</v>
      </c>
      <c r="F43" s="248">
        <f t="shared" si="0"/>
        <v>38087.686000000002</v>
      </c>
      <c r="G43" s="248">
        <f>SUM(G18,G19:G21,G24,G42)</f>
        <v>8867.4955000000009</v>
      </c>
      <c r="H43" s="248">
        <f>SUM(H18,H19:H21,H24,H42)</f>
        <v>8867.4955000000009</v>
      </c>
      <c r="I43" s="248">
        <f>SUM(I18,I19:I21,I24,I42)</f>
        <v>10176.3475</v>
      </c>
      <c r="J43" s="248">
        <f>SUM(J18,J19:J21,J24,J42)</f>
        <v>10176.3475</v>
      </c>
      <c r="K43" s="40"/>
    </row>
    <row r="44" spans="1:12" s="42" customFormat="1" ht="21.75" customHeight="1">
      <c r="A44" s="64"/>
      <c r="B44" s="43"/>
      <c r="C44" s="62"/>
      <c r="D44" s="63"/>
      <c r="E44" s="63"/>
      <c r="F44" s="62"/>
      <c r="G44" s="63"/>
      <c r="H44" s="63"/>
      <c r="I44" s="63"/>
      <c r="J44" s="63"/>
    </row>
    <row r="45" spans="1:12" s="228" customFormat="1" ht="20.100000000000001" customHeight="1">
      <c r="A45" s="206" t="s">
        <v>1164</v>
      </c>
      <c r="B45" s="227"/>
      <c r="C45" s="582" t="s">
        <v>1165</v>
      </c>
      <c r="D45" s="582"/>
      <c r="E45" s="583" t="s">
        <v>317</v>
      </c>
      <c r="F45" s="583"/>
      <c r="G45" s="583"/>
      <c r="H45" s="586"/>
      <c r="I45" s="586"/>
      <c r="J45" s="586"/>
    </row>
    <row r="46" spans="1:12" s="1" customFormat="1" ht="20.100000000000001" customHeight="1">
      <c r="A46" s="132" t="s">
        <v>1166</v>
      </c>
      <c r="B46" s="133"/>
      <c r="C46" s="574" t="s">
        <v>741</v>
      </c>
      <c r="D46" s="574"/>
      <c r="E46" s="571" t="s">
        <v>1167</v>
      </c>
      <c r="F46" s="571"/>
      <c r="G46" s="571"/>
      <c r="H46" s="584"/>
      <c r="I46" s="584"/>
      <c r="J46" s="584"/>
    </row>
    <row r="47" spans="1:12" s="258" customFormat="1" ht="15.75">
      <c r="A47" s="206" t="s">
        <v>1168</v>
      </c>
      <c r="B47" s="229"/>
      <c r="C47" s="582" t="s">
        <v>1165</v>
      </c>
      <c r="D47" s="582"/>
      <c r="E47" s="583" t="s">
        <v>1169</v>
      </c>
      <c r="F47" s="583"/>
      <c r="G47" s="583"/>
      <c r="H47" s="257"/>
      <c r="I47" s="257"/>
      <c r="J47" s="257"/>
      <c r="K47" s="257"/>
      <c r="L47" s="257"/>
    </row>
    <row r="48" spans="1:12" s="43" customFormat="1">
      <c r="A48"/>
      <c r="B48"/>
      <c r="C48" s="574" t="s">
        <v>741</v>
      </c>
      <c r="D48" s="574"/>
      <c r="E48" s="571" t="s">
        <v>1167</v>
      </c>
      <c r="F48" s="571"/>
      <c r="G48" s="571"/>
      <c r="H48" s="40"/>
      <c r="I48" s="40"/>
      <c r="J48" s="40"/>
      <c r="K48" s="40"/>
      <c r="L48" s="40"/>
    </row>
    <row r="49" spans="1:12" s="258" customFormat="1" ht="15.75">
      <c r="A49" s="206" t="s">
        <v>1170</v>
      </c>
      <c r="B49" s="229"/>
      <c r="C49" s="582" t="s">
        <v>1165</v>
      </c>
      <c r="D49" s="582"/>
      <c r="E49" s="583" t="s">
        <v>1171</v>
      </c>
      <c r="F49" s="583"/>
      <c r="G49" s="583"/>
      <c r="H49" s="257"/>
      <c r="I49" s="257"/>
      <c r="J49" s="257"/>
      <c r="K49" s="257"/>
      <c r="L49" s="257"/>
    </row>
    <row r="50" spans="1:12" s="43" customFormat="1" ht="15" customHeight="1">
      <c r="A50" s="221"/>
      <c r="B50"/>
      <c r="C50" s="574" t="s">
        <v>741</v>
      </c>
      <c r="D50" s="574"/>
      <c r="E50" s="571" t="s">
        <v>1167</v>
      </c>
      <c r="F50" s="571"/>
      <c r="G50" s="571"/>
      <c r="H50" s="40"/>
      <c r="I50" s="40"/>
      <c r="J50" s="40"/>
      <c r="K50" s="40"/>
      <c r="L50" s="40"/>
    </row>
    <row r="51" spans="1:12" s="258" customFormat="1" ht="15.75">
      <c r="A51" s="206" t="s">
        <v>1172</v>
      </c>
      <c r="B51" s="229"/>
      <c r="C51" s="582" t="s">
        <v>1165</v>
      </c>
      <c r="D51" s="582"/>
      <c r="E51" s="583" t="s">
        <v>1173</v>
      </c>
      <c r="F51" s="583"/>
      <c r="G51" s="583"/>
      <c r="H51" s="257"/>
      <c r="I51" s="257"/>
      <c r="J51" s="257"/>
      <c r="K51" s="257"/>
      <c r="L51" s="257"/>
    </row>
    <row r="52" spans="1:12" s="43" customFormat="1">
      <c r="A52"/>
      <c r="B52"/>
      <c r="C52" s="574" t="s">
        <v>741</v>
      </c>
      <c r="D52" s="574"/>
      <c r="E52" s="571" t="s">
        <v>1167</v>
      </c>
      <c r="F52" s="571"/>
      <c r="G52" s="571"/>
      <c r="H52" s="40"/>
      <c r="I52" s="40"/>
      <c r="J52" s="40"/>
      <c r="K52" s="40"/>
      <c r="L52" s="40"/>
    </row>
    <row r="53" spans="1:12" s="43" customFormat="1">
      <c r="A53" s="55"/>
      <c r="E53" s="476">
        <f>E34+E35+E37</f>
        <v>3760</v>
      </c>
      <c r="F53" s="40"/>
      <c r="G53" s="476">
        <f>G34+G35+G37</f>
        <v>1005</v>
      </c>
      <c r="H53" s="476">
        <f>H34+H35+H37</f>
        <v>1005</v>
      </c>
      <c r="I53" s="476">
        <f>I34+I35+I37</f>
        <v>1005</v>
      </c>
      <c r="J53" s="476">
        <f>J34+J35+J37</f>
        <v>1005</v>
      </c>
      <c r="K53" s="40"/>
      <c r="L53" s="40"/>
    </row>
    <row r="54" spans="1:12" s="43" customFormat="1">
      <c r="A54" s="55"/>
      <c r="F54" s="40"/>
      <c r="G54" s="40"/>
      <c r="H54" s="40"/>
      <c r="I54" s="40"/>
      <c r="J54" s="40"/>
      <c r="K54" s="40"/>
      <c r="L54" s="40"/>
    </row>
    <row r="55" spans="1:12" s="43" customFormat="1">
      <c r="A55" s="55"/>
      <c r="F55" s="40"/>
      <c r="G55" s="40"/>
      <c r="H55" s="40"/>
      <c r="I55" s="40"/>
      <c r="J55" s="40"/>
      <c r="K55" s="40"/>
      <c r="L55" s="40"/>
    </row>
    <row r="56" spans="1:12" s="43" customFormat="1">
      <c r="A56" s="55"/>
      <c r="F56" s="40"/>
      <c r="G56" s="40"/>
      <c r="H56" s="40"/>
      <c r="I56" s="40"/>
      <c r="J56" s="40"/>
      <c r="K56" s="40"/>
      <c r="L56" s="40"/>
    </row>
    <row r="57" spans="1:12" s="43" customFormat="1">
      <c r="A57" s="55"/>
      <c r="F57" s="40"/>
      <c r="G57" s="40"/>
      <c r="H57" s="40"/>
      <c r="I57" s="40"/>
      <c r="J57" s="40"/>
      <c r="K57" s="40"/>
      <c r="L57" s="40"/>
    </row>
    <row r="58" spans="1:12" s="43" customFormat="1">
      <c r="A58" s="55"/>
      <c r="F58" s="40"/>
      <c r="G58" s="40"/>
      <c r="H58" s="40"/>
      <c r="I58" s="40"/>
      <c r="J58" s="40"/>
      <c r="K58" s="40"/>
      <c r="L58" s="40"/>
    </row>
    <row r="59" spans="1:12" s="43" customFormat="1">
      <c r="A59" s="55"/>
      <c r="F59" s="40"/>
      <c r="G59" s="40"/>
      <c r="H59" s="40"/>
      <c r="I59" s="40"/>
      <c r="J59" s="40"/>
      <c r="K59" s="40"/>
      <c r="L59" s="40"/>
    </row>
    <row r="60" spans="1:12" s="43" customFormat="1">
      <c r="A60" s="55"/>
      <c r="F60" s="40"/>
      <c r="G60" s="40"/>
      <c r="H60" s="40"/>
      <c r="I60" s="40"/>
      <c r="J60" s="40"/>
      <c r="K60" s="40"/>
      <c r="L60" s="40"/>
    </row>
    <row r="61" spans="1:12" s="43" customFormat="1">
      <c r="A61" s="55"/>
      <c r="F61" s="40"/>
      <c r="G61" s="40"/>
      <c r="H61" s="40"/>
      <c r="I61" s="40"/>
      <c r="J61" s="40"/>
      <c r="K61" s="40"/>
      <c r="L61" s="40"/>
    </row>
    <row r="62" spans="1:12" s="43" customFormat="1">
      <c r="A62" s="55"/>
      <c r="F62" s="40"/>
      <c r="G62" s="40"/>
      <c r="H62" s="40"/>
      <c r="I62" s="40"/>
      <c r="J62" s="40"/>
      <c r="K62" s="40"/>
      <c r="L62" s="40"/>
    </row>
    <row r="63" spans="1:12" s="43" customFormat="1">
      <c r="A63" s="55"/>
      <c r="F63" s="40"/>
      <c r="G63" s="40"/>
      <c r="H63" s="40"/>
      <c r="I63" s="40"/>
      <c r="J63" s="40"/>
      <c r="K63" s="40"/>
      <c r="L63" s="40"/>
    </row>
    <row r="64" spans="1:12" s="43" customFormat="1">
      <c r="A64" s="55"/>
      <c r="F64" s="40"/>
      <c r="G64" s="40"/>
      <c r="H64" s="40"/>
      <c r="I64" s="40"/>
      <c r="J64" s="40"/>
      <c r="K64" s="40"/>
      <c r="L64" s="40"/>
    </row>
    <row r="65" spans="1:12" s="43" customFormat="1">
      <c r="A65" s="55"/>
      <c r="F65" s="40"/>
      <c r="G65" s="40"/>
      <c r="H65" s="40"/>
      <c r="I65" s="40"/>
      <c r="J65" s="40"/>
      <c r="K65" s="40"/>
      <c r="L65" s="40"/>
    </row>
    <row r="66" spans="1:12" s="43" customFormat="1">
      <c r="A66" s="55"/>
      <c r="F66" s="40"/>
      <c r="G66" s="40"/>
      <c r="H66" s="40"/>
      <c r="I66" s="40"/>
      <c r="J66" s="40"/>
      <c r="K66" s="40"/>
      <c r="L66" s="40"/>
    </row>
    <row r="67" spans="1:12" s="43" customFormat="1">
      <c r="A67" s="55"/>
      <c r="F67" s="40"/>
      <c r="G67" s="40"/>
      <c r="H67" s="40"/>
      <c r="I67" s="40"/>
      <c r="J67" s="40"/>
      <c r="K67" s="40"/>
      <c r="L67" s="40"/>
    </row>
    <row r="68" spans="1:12" s="43" customFormat="1">
      <c r="A68" s="55"/>
      <c r="F68" s="40"/>
      <c r="G68" s="40"/>
      <c r="H68" s="40"/>
      <c r="I68" s="40"/>
      <c r="J68" s="40"/>
      <c r="K68" s="40"/>
      <c r="L68" s="40"/>
    </row>
    <row r="69" spans="1:12" s="43" customFormat="1">
      <c r="A69" s="55"/>
      <c r="F69" s="40"/>
      <c r="G69" s="40"/>
      <c r="H69" s="40"/>
      <c r="I69" s="40"/>
      <c r="J69" s="40"/>
      <c r="K69" s="40"/>
      <c r="L69" s="40"/>
    </row>
    <row r="70" spans="1:12" s="43" customFormat="1">
      <c r="A70" s="55"/>
      <c r="F70" s="40"/>
      <c r="G70" s="40"/>
      <c r="H70" s="40"/>
      <c r="I70" s="40"/>
      <c r="J70" s="40"/>
      <c r="K70" s="40"/>
      <c r="L70" s="40"/>
    </row>
    <row r="71" spans="1:12" s="43" customFormat="1">
      <c r="A71" s="55"/>
      <c r="F71" s="40"/>
      <c r="G71" s="40"/>
      <c r="H71" s="40"/>
      <c r="I71" s="40"/>
      <c r="J71" s="40"/>
      <c r="K71" s="40"/>
      <c r="L71" s="40"/>
    </row>
    <row r="72" spans="1:12" s="43" customFormat="1">
      <c r="A72" s="55"/>
      <c r="F72" s="40"/>
      <c r="G72" s="40"/>
      <c r="H72" s="40"/>
      <c r="I72" s="40"/>
      <c r="J72" s="40"/>
      <c r="K72" s="40"/>
      <c r="L72" s="40"/>
    </row>
    <row r="73" spans="1:12" s="43" customFormat="1">
      <c r="A73" s="55"/>
      <c r="F73" s="40"/>
      <c r="G73" s="40"/>
      <c r="H73" s="40"/>
      <c r="I73" s="40"/>
      <c r="J73" s="40"/>
      <c r="K73" s="40"/>
      <c r="L73" s="40"/>
    </row>
    <row r="74" spans="1:12" s="43" customFormat="1">
      <c r="A74" s="55"/>
      <c r="F74" s="40"/>
      <c r="G74" s="40"/>
      <c r="H74" s="40"/>
      <c r="I74" s="40"/>
      <c r="J74" s="40"/>
      <c r="K74" s="40"/>
      <c r="L74" s="40"/>
    </row>
    <row r="75" spans="1:12" s="43" customFormat="1">
      <c r="A75" s="55"/>
      <c r="F75" s="40"/>
      <c r="G75" s="40"/>
      <c r="H75" s="40"/>
      <c r="I75" s="40"/>
      <c r="J75" s="40"/>
      <c r="K75" s="40"/>
      <c r="L75" s="40"/>
    </row>
    <row r="76" spans="1:12" s="43" customFormat="1">
      <c r="A76" s="55"/>
      <c r="F76" s="40"/>
      <c r="G76" s="40"/>
      <c r="H76" s="40"/>
      <c r="I76" s="40"/>
      <c r="J76" s="40"/>
      <c r="K76" s="40"/>
      <c r="L76" s="40"/>
    </row>
    <row r="77" spans="1:12" s="43" customFormat="1">
      <c r="A77" s="55"/>
      <c r="F77" s="40"/>
      <c r="G77" s="40"/>
      <c r="H77" s="40"/>
      <c r="I77" s="40"/>
      <c r="J77" s="40"/>
      <c r="K77" s="40"/>
      <c r="L77" s="40"/>
    </row>
    <row r="78" spans="1:12" s="43" customFormat="1">
      <c r="A78" s="55"/>
      <c r="F78" s="40"/>
      <c r="G78" s="40"/>
      <c r="H78" s="40"/>
      <c r="I78" s="40"/>
      <c r="J78" s="40"/>
      <c r="K78" s="40"/>
      <c r="L78" s="40"/>
    </row>
    <row r="79" spans="1:12" s="43" customFormat="1">
      <c r="A79" s="55"/>
      <c r="F79" s="40"/>
      <c r="G79" s="40"/>
      <c r="H79" s="40"/>
      <c r="I79" s="40"/>
      <c r="J79" s="40"/>
      <c r="K79" s="40"/>
      <c r="L79" s="40"/>
    </row>
    <row r="80" spans="1:12" s="43" customFormat="1">
      <c r="A80" s="55"/>
      <c r="F80" s="40"/>
      <c r="G80" s="40"/>
      <c r="H80" s="40"/>
      <c r="I80" s="40"/>
      <c r="J80" s="40"/>
      <c r="K80" s="40"/>
      <c r="L80" s="40"/>
    </row>
    <row r="81" spans="1:12" s="43" customFormat="1">
      <c r="A81" s="55"/>
      <c r="F81" s="40"/>
      <c r="G81" s="40"/>
      <c r="H81" s="40"/>
      <c r="I81" s="40"/>
      <c r="J81" s="40"/>
      <c r="K81" s="40"/>
      <c r="L81" s="40"/>
    </row>
    <row r="82" spans="1:12" s="43" customFormat="1">
      <c r="A82" s="55"/>
      <c r="F82" s="40"/>
      <c r="G82" s="40"/>
      <c r="H82" s="40"/>
      <c r="I82" s="40"/>
      <c r="J82" s="40"/>
      <c r="K82" s="40"/>
      <c r="L82" s="40"/>
    </row>
    <row r="83" spans="1:12" s="43" customFormat="1">
      <c r="A83" s="55"/>
      <c r="F83" s="40"/>
      <c r="G83" s="40"/>
      <c r="H83" s="40"/>
      <c r="I83" s="40"/>
      <c r="J83" s="40"/>
      <c r="K83" s="40"/>
      <c r="L83" s="40"/>
    </row>
    <row r="84" spans="1:12" s="43" customFormat="1">
      <c r="A84" s="55"/>
      <c r="F84" s="40"/>
      <c r="G84" s="40"/>
      <c r="H84" s="40"/>
      <c r="I84" s="40"/>
      <c r="J84" s="40"/>
      <c r="K84" s="40"/>
      <c r="L84" s="40"/>
    </row>
    <row r="85" spans="1:12" s="43" customFormat="1">
      <c r="A85" s="55"/>
      <c r="F85" s="40"/>
      <c r="G85" s="40"/>
      <c r="H85" s="40"/>
      <c r="I85" s="40"/>
      <c r="J85" s="40"/>
      <c r="K85" s="40"/>
      <c r="L85" s="40"/>
    </row>
    <row r="86" spans="1:12" s="43" customFormat="1">
      <c r="A86" s="55"/>
      <c r="F86" s="40"/>
      <c r="G86" s="40"/>
      <c r="H86" s="40"/>
      <c r="I86" s="40"/>
      <c r="J86" s="40"/>
      <c r="K86" s="40"/>
      <c r="L86" s="40"/>
    </row>
    <row r="87" spans="1:12" s="43" customFormat="1">
      <c r="A87" s="55"/>
      <c r="F87" s="40"/>
      <c r="G87" s="40"/>
      <c r="H87" s="40"/>
      <c r="I87" s="40"/>
      <c r="J87" s="40"/>
      <c r="K87" s="40"/>
      <c r="L87" s="40"/>
    </row>
    <row r="88" spans="1:12" s="43" customFormat="1">
      <c r="A88" s="55"/>
      <c r="F88" s="40"/>
      <c r="G88" s="40"/>
      <c r="H88" s="40"/>
      <c r="I88" s="40"/>
      <c r="J88" s="40"/>
      <c r="K88" s="40"/>
      <c r="L88" s="40"/>
    </row>
    <row r="89" spans="1:12" s="43" customFormat="1">
      <c r="A89" s="55"/>
      <c r="F89" s="40"/>
      <c r="G89" s="40"/>
      <c r="H89" s="40"/>
      <c r="I89" s="40"/>
      <c r="J89" s="40"/>
      <c r="K89" s="40"/>
      <c r="L89" s="40"/>
    </row>
    <row r="90" spans="1:12" s="43" customFormat="1">
      <c r="A90" s="55"/>
      <c r="F90" s="40"/>
      <c r="G90" s="40"/>
      <c r="H90" s="40"/>
      <c r="I90" s="40"/>
      <c r="J90" s="40"/>
      <c r="K90" s="40"/>
      <c r="L90" s="40"/>
    </row>
    <row r="91" spans="1:12" s="43" customFormat="1">
      <c r="A91" s="55"/>
      <c r="F91" s="40"/>
      <c r="G91" s="40"/>
      <c r="H91" s="40"/>
      <c r="I91" s="40"/>
      <c r="J91" s="40"/>
      <c r="K91" s="40"/>
      <c r="L91" s="40"/>
    </row>
    <row r="92" spans="1:12" s="43" customFormat="1">
      <c r="A92" s="55"/>
      <c r="F92" s="40"/>
      <c r="G92" s="40"/>
      <c r="H92" s="40"/>
      <c r="I92" s="40"/>
      <c r="J92" s="40"/>
      <c r="K92" s="40"/>
      <c r="L92" s="40"/>
    </row>
    <row r="93" spans="1:12" s="43" customFormat="1">
      <c r="A93" s="55"/>
      <c r="F93" s="40"/>
      <c r="G93" s="40"/>
      <c r="H93" s="40"/>
      <c r="I93" s="40"/>
      <c r="J93" s="40"/>
      <c r="K93" s="40"/>
      <c r="L93" s="40"/>
    </row>
    <row r="94" spans="1:12" s="43" customFormat="1">
      <c r="A94" s="55"/>
      <c r="F94" s="40"/>
      <c r="G94" s="40"/>
      <c r="H94" s="40"/>
      <c r="I94" s="40"/>
      <c r="J94" s="40"/>
      <c r="K94" s="40"/>
      <c r="L94" s="40"/>
    </row>
    <row r="95" spans="1:12" s="43" customFormat="1">
      <c r="A95" s="55"/>
      <c r="F95" s="40"/>
      <c r="G95" s="40"/>
      <c r="H95" s="40"/>
      <c r="I95" s="40"/>
      <c r="J95" s="40"/>
      <c r="K95" s="40"/>
      <c r="L95" s="40"/>
    </row>
    <row r="96" spans="1:12" s="43" customFormat="1">
      <c r="A96" s="55"/>
      <c r="F96" s="40"/>
      <c r="G96" s="40"/>
      <c r="H96" s="40"/>
      <c r="I96" s="40"/>
      <c r="J96" s="40"/>
      <c r="K96" s="40"/>
      <c r="L96" s="40"/>
    </row>
    <row r="97" spans="1:12" s="43" customFormat="1">
      <c r="A97" s="55"/>
      <c r="F97" s="40"/>
      <c r="G97" s="40"/>
      <c r="H97" s="40"/>
      <c r="I97" s="40"/>
      <c r="J97" s="40"/>
      <c r="K97" s="40"/>
      <c r="L97" s="40"/>
    </row>
    <row r="98" spans="1:12" s="43" customFormat="1">
      <c r="A98" s="55"/>
      <c r="F98" s="40"/>
      <c r="G98" s="40"/>
      <c r="H98" s="40"/>
      <c r="I98" s="40"/>
      <c r="J98" s="40"/>
      <c r="K98" s="40"/>
      <c r="L98" s="40"/>
    </row>
    <row r="99" spans="1:12" s="43" customFormat="1">
      <c r="A99" s="55"/>
      <c r="F99" s="40"/>
      <c r="G99" s="40"/>
      <c r="H99" s="40"/>
      <c r="I99" s="40"/>
      <c r="J99" s="40"/>
      <c r="K99" s="40"/>
      <c r="L99" s="40"/>
    </row>
    <row r="100" spans="1:12" s="43" customFormat="1">
      <c r="A100" s="55"/>
      <c r="F100" s="40"/>
      <c r="G100" s="40"/>
      <c r="H100" s="40"/>
      <c r="I100" s="40"/>
      <c r="J100" s="40"/>
      <c r="K100" s="40"/>
      <c r="L100" s="40"/>
    </row>
    <row r="101" spans="1:12" s="43" customFormat="1">
      <c r="A101" s="55"/>
      <c r="F101" s="40"/>
      <c r="G101" s="40"/>
      <c r="H101" s="40"/>
      <c r="I101" s="40"/>
      <c r="J101" s="40"/>
      <c r="K101" s="40"/>
      <c r="L101" s="40"/>
    </row>
    <row r="102" spans="1:12" s="43" customFormat="1">
      <c r="A102" s="55"/>
      <c r="F102" s="40"/>
      <c r="G102" s="40"/>
      <c r="H102" s="40"/>
      <c r="I102" s="40"/>
      <c r="J102" s="40"/>
      <c r="K102" s="40"/>
      <c r="L102" s="40"/>
    </row>
    <row r="103" spans="1:12" s="43" customFormat="1">
      <c r="A103" s="55"/>
      <c r="F103" s="40"/>
      <c r="G103" s="40"/>
      <c r="H103" s="40"/>
      <c r="I103" s="40"/>
      <c r="J103" s="40"/>
      <c r="K103" s="40"/>
      <c r="L103" s="40"/>
    </row>
    <row r="104" spans="1:12" s="43" customFormat="1">
      <c r="A104" s="55"/>
      <c r="F104" s="40"/>
      <c r="G104" s="40"/>
      <c r="H104" s="40"/>
      <c r="I104" s="40"/>
      <c r="J104" s="40"/>
      <c r="K104" s="40"/>
      <c r="L104" s="40"/>
    </row>
    <row r="105" spans="1:12" s="43" customFormat="1">
      <c r="A105" s="55"/>
      <c r="F105" s="40"/>
      <c r="G105" s="40"/>
      <c r="H105" s="40"/>
      <c r="I105" s="40"/>
      <c r="J105" s="40"/>
      <c r="K105" s="40"/>
      <c r="L105" s="40"/>
    </row>
    <row r="106" spans="1:12" s="43" customFormat="1">
      <c r="A106" s="55"/>
      <c r="F106" s="40"/>
      <c r="G106" s="40"/>
      <c r="H106" s="40"/>
      <c r="I106" s="40"/>
      <c r="J106" s="40"/>
      <c r="K106" s="40"/>
      <c r="L106" s="40"/>
    </row>
    <row r="107" spans="1:12" s="43" customFormat="1">
      <c r="A107" s="55"/>
      <c r="F107" s="40"/>
      <c r="G107" s="40"/>
      <c r="H107" s="40"/>
      <c r="I107" s="40"/>
      <c r="J107" s="40"/>
      <c r="K107" s="40"/>
      <c r="L107" s="40"/>
    </row>
    <row r="108" spans="1:12" s="43" customFormat="1">
      <c r="A108" s="55"/>
      <c r="F108" s="40"/>
      <c r="G108" s="40"/>
      <c r="H108" s="40"/>
      <c r="I108" s="40"/>
      <c r="J108" s="40"/>
      <c r="K108" s="40"/>
      <c r="L108" s="40"/>
    </row>
    <row r="109" spans="1:12" s="43" customFormat="1">
      <c r="A109" s="55"/>
      <c r="F109" s="40"/>
      <c r="G109" s="40"/>
      <c r="H109" s="40"/>
      <c r="I109" s="40"/>
      <c r="J109" s="40"/>
      <c r="K109" s="40"/>
      <c r="L109" s="40"/>
    </row>
    <row r="110" spans="1:12" s="43" customFormat="1">
      <c r="A110" s="55"/>
      <c r="F110" s="40"/>
      <c r="G110" s="40"/>
      <c r="H110" s="40"/>
      <c r="I110" s="40"/>
      <c r="J110" s="40"/>
      <c r="K110" s="40"/>
      <c r="L110" s="40"/>
    </row>
    <row r="111" spans="1:12" s="43" customFormat="1">
      <c r="A111" s="55"/>
      <c r="F111" s="40"/>
      <c r="G111" s="40"/>
      <c r="H111" s="40"/>
      <c r="I111" s="40"/>
      <c r="J111" s="40"/>
      <c r="K111" s="40"/>
      <c r="L111" s="40"/>
    </row>
    <row r="112" spans="1:12" s="43" customFormat="1">
      <c r="A112" s="55"/>
      <c r="F112" s="40"/>
      <c r="G112" s="40"/>
      <c r="H112" s="40"/>
      <c r="I112" s="40"/>
      <c r="J112" s="40"/>
      <c r="K112" s="40"/>
      <c r="L112" s="40"/>
    </row>
    <row r="113" spans="1:12" s="43" customFormat="1">
      <c r="A113" s="55"/>
      <c r="F113" s="40"/>
      <c r="G113" s="40"/>
      <c r="H113" s="40"/>
      <c r="I113" s="40"/>
      <c r="J113" s="40"/>
      <c r="K113" s="40"/>
      <c r="L113" s="40"/>
    </row>
    <row r="114" spans="1:12" s="43" customFormat="1">
      <c r="A114" s="55"/>
      <c r="F114" s="40"/>
      <c r="G114" s="40"/>
      <c r="H114" s="40"/>
      <c r="I114" s="40"/>
      <c r="J114" s="40"/>
      <c r="K114" s="40"/>
      <c r="L114" s="40"/>
    </row>
    <row r="115" spans="1:12" s="43" customFormat="1">
      <c r="A115" s="55"/>
      <c r="F115" s="40"/>
      <c r="G115" s="40"/>
      <c r="H115" s="40"/>
      <c r="I115" s="40"/>
      <c r="J115" s="40"/>
      <c r="K115" s="40"/>
      <c r="L115" s="40"/>
    </row>
    <row r="116" spans="1:12" s="43" customFormat="1">
      <c r="A116" s="55"/>
      <c r="F116" s="40"/>
      <c r="G116" s="40"/>
      <c r="H116" s="40"/>
      <c r="I116" s="40"/>
      <c r="J116" s="40"/>
      <c r="K116" s="40"/>
      <c r="L116" s="40"/>
    </row>
    <row r="117" spans="1:12" s="43" customFormat="1">
      <c r="A117" s="55"/>
      <c r="F117" s="40"/>
      <c r="G117" s="40"/>
      <c r="H117" s="40"/>
      <c r="I117" s="40"/>
      <c r="J117" s="40"/>
      <c r="K117" s="40"/>
      <c r="L117" s="40"/>
    </row>
    <row r="118" spans="1:12" s="43" customFormat="1">
      <c r="A118" s="55"/>
      <c r="F118" s="40"/>
      <c r="G118" s="40"/>
      <c r="H118" s="40"/>
      <c r="I118" s="40"/>
      <c r="J118" s="40"/>
      <c r="K118" s="40"/>
      <c r="L118" s="40"/>
    </row>
    <row r="119" spans="1:12" s="43" customFormat="1">
      <c r="A119" s="55"/>
      <c r="F119" s="40"/>
      <c r="G119" s="40"/>
      <c r="H119" s="40"/>
      <c r="I119" s="40"/>
      <c r="J119" s="40"/>
      <c r="K119" s="40"/>
      <c r="L119" s="40"/>
    </row>
    <row r="120" spans="1:12" s="43" customFormat="1">
      <c r="A120" s="55"/>
      <c r="F120" s="40"/>
      <c r="G120" s="40"/>
      <c r="H120" s="40"/>
      <c r="I120" s="40"/>
      <c r="J120" s="40"/>
      <c r="K120" s="40"/>
      <c r="L120" s="40"/>
    </row>
    <row r="121" spans="1:12" s="43" customFormat="1">
      <c r="A121" s="55"/>
      <c r="F121" s="40"/>
      <c r="G121" s="40"/>
      <c r="H121" s="40"/>
      <c r="I121" s="40"/>
      <c r="J121" s="40"/>
      <c r="K121" s="40"/>
      <c r="L121" s="40"/>
    </row>
    <row r="122" spans="1:12" s="43" customFormat="1">
      <c r="A122" s="55"/>
      <c r="F122" s="40"/>
      <c r="G122" s="40"/>
      <c r="H122" s="40"/>
      <c r="I122" s="40"/>
      <c r="J122" s="40"/>
      <c r="K122" s="40"/>
      <c r="L122" s="40"/>
    </row>
    <row r="123" spans="1:12" s="43" customFormat="1">
      <c r="A123" s="55"/>
      <c r="F123" s="40"/>
      <c r="G123" s="40"/>
      <c r="H123" s="40"/>
      <c r="I123" s="40"/>
      <c r="J123" s="40"/>
      <c r="K123" s="40"/>
      <c r="L123" s="40"/>
    </row>
    <row r="124" spans="1:12" s="43" customFormat="1">
      <c r="A124" s="55"/>
      <c r="F124" s="40"/>
      <c r="G124" s="40"/>
      <c r="H124" s="40"/>
      <c r="I124" s="40"/>
      <c r="J124" s="40"/>
      <c r="K124" s="40"/>
      <c r="L124" s="40"/>
    </row>
    <row r="125" spans="1:12" s="43" customFormat="1">
      <c r="A125" s="55"/>
      <c r="F125" s="40"/>
      <c r="G125" s="40"/>
      <c r="H125" s="40"/>
      <c r="I125" s="40"/>
      <c r="J125" s="40"/>
      <c r="K125" s="40"/>
      <c r="L125" s="40"/>
    </row>
    <row r="126" spans="1:12" s="43" customFormat="1">
      <c r="A126" s="55"/>
      <c r="F126" s="40"/>
      <c r="G126" s="40"/>
      <c r="H126" s="40"/>
      <c r="I126" s="40"/>
      <c r="J126" s="40"/>
      <c r="K126" s="40"/>
      <c r="L126" s="40"/>
    </row>
    <row r="127" spans="1:12" s="43" customFormat="1">
      <c r="A127" s="55"/>
      <c r="F127" s="40"/>
      <c r="G127" s="40"/>
      <c r="H127" s="40"/>
      <c r="I127" s="40"/>
      <c r="J127" s="40"/>
      <c r="K127" s="40"/>
      <c r="L127" s="40"/>
    </row>
    <row r="128" spans="1:12" s="43" customFormat="1">
      <c r="A128" s="55"/>
      <c r="F128" s="40"/>
      <c r="G128" s="40"/>
      <c r="H128" s="40"/>
      <c r="I128" s="40"/>
      <c r="J128" s="40"/>
      <c r="K128" s="40"/>
      <c r="L128" s="40"/>
    </row>
    <row r="129" spans="1:12" s="43" customFormat="1">
      <c r="A129" s="55"/>
      <c r="F129" s="40"/>
      <c r="G129" s="40"/>
      <c r="H129" s="40"/>
      <c r="I129" s="40"/>
      <c r="J129" s="40"/>
      <c r="K129" s="40"/>
      <c r="L129" s="40"/>
    </row>
    <row r="130" spans="1:12" s="43" customFormat="1">
      <c r="A130" s="55"/>
      <c r="F130" s="40"/>
      <c r="G130" s="40"/>
      <c r="H130" s="40"/>
      <c r="I130" s="40"/>
      <c r="J130" s="40"/>
      <c r="K130" s="40"/>
      <c r="L130" s="40"/>
    </row>
    <row r="131" spans="1:12" s="43" customFormat="1">
      <c r="A131" s="55"/>
      <c r="F131" s="40"/>
      <c r="G131" s="40"/>
      <c r="H131" s="40"/>
      <c r="I131" s="40"/>
      <c r="J131" s="40"/>
      <c r="K131" s="40"/>
      <c r="L131" s="40"/>
    </row>
    <row r="132" spans="1:12" s="43" customFormat="1">
      <c r="A132" s="55"/>
      <c r="F132" s="40"/>
      <c r="G132" s="40"/>
      <c r="H132" s="40"/>
      <c r="I132" s="40"/>
      <c r="J132" s="40"/>
      <c r="K132" s="40"/>
      <c r="L132" s="40"/>
    </row>
    <row r="133" spans="1:12" s="43" customFormat="1">
      <c r="A133" s="55"/>
      <c r="F133" s="40"/>
      <c r="G133" s="40"/>
      <c r="H133" s="40"/>
      <c r="I133" s="40"/>
      <c r="J133" s="40"/>
      <c r="K133" s="40"/>
      <c r="L133" s="40"/>
    </row>
    <row r="134" spans="1:12" s="43" customFormat="1">
      <c r="A134" s="55"/>
      <c r="F134" s="40"/>
      <c r="G134" s="40"/>
      <c r="H134" s="40"/>
      <c r="I134" s="40"/>
      <c r="J134" s="40"/>
      <c r="K134" s="40"/>
      <c r="L134" s="40"/>
    </row>
    <row r="135" spans="1:12" s="43" customFormat="1">
      <c r="A135" s="55"/>
      <c r="F135" s="40"/>
      <c r="G135" s="40"/>
      <c r="H135" s="40"/>
      <c r="I135" s="40"/>
      <c r="J135" s="40"/>
      <c r="K135" s="40"/>
      <c r="L135" s="40"/>
    </row>
    <row r="136" spans="1:12" s="43" customFormat="1">
      <c r="A136" s="55"/>
      <c r="F136" s="40"/>
      <c r="G136" s="40"/>
      <c r="H136" s="40"/>
      <c r="I136" s="40"/>
      <c r="J136" s="40"/>
      <c r="K136" s="40"/>
      <c r="L136" s="40"/>
    </row>
    <row r="137" spans="1:12" s="43" customFormat="1">
      <c r="A137" s="55"/>
      <c r="F137" s="40"/>
      <c r="G137" s="40"/>
      <c r="H137" s="40"/>
      <c r="I137" s="40"/>
      <c r="J137" s="40"/>
      <c r="K137" s="40"/>
      <c r="L137" s="40"/>
    </row>
    <row r="138" spans="1:12" s="43" customFormat="1">
      <c r="A138" s="55"/>
      <c r="F138" s="40"/>
      <c r="G138" s="40"/>
      <c r="H138" s="40"/>
      <c r="I138" s="40"/>
      <c r="J138" s="40"/>
      <c r="K138" s="40"/>
      <c r="L138" s="40"/>
    </row>
    <row r="139" spans="1:12" s="43" customFormat="1">
      <c r="A139" s="55"/>
      <c r="F139" s="40"/>
      <c r="G139" s="40"/>
      <c r="H139" s="40"/>
      <c r="I139" s="40"/>
      <c r="J139" s="40"/>
      <c r="K139" s="40"/>
      <c r="L139" s="40"/>
    </row>
    <row r="140" spans="1:12" s="43" customFormat="1">
      <c r="A140" s="55"/>
      <c r="F140" s="40"/>
      <c r="G140" s="40"/>
      <c r="H140" s="40"/>
      <c r="I140" s="40"/>
      <c r="J140" s="40"/>
      <c r="K140" s="40"/>
      <c r="L140" s="40"/>
    </row>
    <row r="141" spans="1:12" s="43" customFormat="1">
      <c r="A141" s="55"/>
      <c r="F141" s="40"/>
      <c r="G141" s="40"/>
      <c r="H141" s="40"/>
      <c r="I141" s="40"/>
      <c r="J141" s="40"/>
      <c r="K141" s="40"/>
      <c r="L141" s="40"/>
    </row>
    <row r="142" spans="1:12" s="43" customFormat="1">
      <c r="A142" s="55"/>
      <c r="F142" s="40"/>
      <c r="G142" s="40"/>
      <c r="H142" s="40"/>
      <c r="I142" s="40"/>
      <c r="J142" s="40"/>
      <c r="K142" s="40"/>
      <c r="L142" s="40"/>
    </row>
    <row r="143" spans="1:12" s="43" customFormat="1">
      <c r="A143" s="55"/>
      <c r="F143" s="40"/>
      <c r="G143" s="40"/>
      <c r="H143" s="40"/>
      <c r="I143" s="40"/>
      <c r="J143" s="40"/>
      <c r="K143" s="40"/>
      <c r="L143" s="40"/>
    </row>
    <row r="144" spans="1:12" s="43" customFormat="1">
      <c r="A144" s="55"/>
      <c r="F144" s="40"/>
      <c r="G144" s="40"/>
      <c r="H144" s="40"/>
      <c r="I144" s="40"/>
      <c r="J144" s="40"/>
      <c r="K144" s="40"/>
      <c r="L144" s="40"/>
    </row>
    <row r="145" spans="1:12" s="43" customFormat="1">
      <c r="A145" s="55"/>
      <c r="F145" s="40"/>
      <c r="G145" s="40"/>
      <c r="H145" s="40"/>
      <c r="I145" s="40"/>
      <c r="J145" s="40"/>
      <c r="K145" s="40"/>
      <c r="L145" s="40"/>
    </row>
    <row r="146" spans="1:12" s="43" customFormat="1">
      <c r="A146" s="55"/>
      <c r="F146" s="40"/>
      <c r="G146" s="40"/>
      <c r="H146" s="40"/>
      <c r="I146" s="40"/>
      <c r="J146" s="40"/>
      <c r="K146" s="40"/>
      <c r="L146" s="40"/>
    </row>
    <row r="147" spans="1:12" s="43" customFormat="1">
      <c r="A147" s="55"/>
      <c r="F147" s="40"/>
      <c r="G147" s="40"/>
      <c r="H147" s="40"/>
      <c r="I147" s="40"/>
      <c r="J147" s="40"/>
      <c r="K147" s="40"/>
      <c r="L147" s="40"/>
    </row>
    <row r="148" spans="1:12" s="43" customFormat="1">
      <c r="A148" s="55"/>
      <c r="F148" s="40"/>
      <c r="G148" s="40"/>
      <c r="H148" s="40"/>
      <c r="I148" s="40"/>
      <c r="J148" s="40"/>
      <c r="K148" s="40"/>
      <c r="L148" s="40"/>
    </row>
    <row r="149" spans="1:12" s="43" customFormat="1">
      <c r="A149" s="55"/>
      <c r="F149" s="40"/>
      <c r="G149" s="40"/>
      <c r="H149" s="40"/>
      <c r="I149" s="40"/>
      <c r="J149" s="40"/>
      <c r="K149" s="40"/>
      <c r="L149" s="40"/>
    </row>
    <row r="150" spans="1:12" s="43" customFormat="1">
      <c r="A150" s="55"/>
      <c r="F150" s="40"/>
      <c r="G150" s="40"/>
      <c r="H150" s="40"/>
      <c r="I150" s="40"/>
      <c r="J150" s="40"/>
      <c r="K150" s="40"/>
      <c r="L150" s="40"/>
    </row>
    <row r="151" spans="1:12" s="43" customFormat="1">
      <c r="A151" s="55"/>
      <c r="F151" s="40"/>
      <c r="G151" s="40"/>
      <c r="H151" s="40"/>
      <c r="I151" s="40"/>
      <c r="J151" s="40"/>
      <c r="K151" s="40"/>
      <c r="L151" s="40"/>
    </row>
    <row r="152" spans="1:12" s="43" customFormat="1">
      <c r="A152" s="55"/>
      <c r="F152" s="40"/>
      <c r="G152" s="40"/>
      <c r="H152" s="40"/>
      <c r="I152" s="40"/>
      <c r="J152" s="40"/>
      <c r="K152" s="40"/>
      <c r="L152" s="40"/>
    </row>
    <row r="153" spans="1:12" s="43" customFormat="1">
      <c r="A153" s="55"/>
      <c r="F153" s="40"/>
      <c r="G153" s="40"/>
      <c r="H153" s="40"/>
      <c r="I153" s="40"/>
      <c r="J153" s="40"/>
      <c r="K153" s="40"/>
      <c r="L153" s="40"/>
    </row>
    <row r="154" spans="1:12" s="43" customFormat="1">
      <c r="A154" s="55"/>
      <c r="F154" s="40"/>
      <c r="G154" s="40"/>
      <c r="H154" s="40"/>
      <c r="I154" s="40"/>
      <c r="J154" s="40"/>
      <c r="K154" s="40"/>
      <c r="L154" s="40"/>
    </row>
    <row r="155" spans="1:12" s="43" customFormat="1">
      <c r="A155" s="55"/>
      <c r="F155" s="40"/>
      <c r="G155" s="40"/>
      <c r="H155" s="40"/>
      <c r="I155" s="40"/>
      <c r="J155" s="40"/>
      <c r="K155" s="40"/>
      <c r="L155" s="40"/>
    </row>
    <row r="156" spans="1:12" s="43" customFormat="1">
      <c r="A156" s="55"/>
      <c r="F156" s="40"/>
      <c r="G156" s="40"/>
      <c r="H156" s="40"/>
      <c r="I156" s="40"/>
      <c r="J156" s="40"/>
      <c r="K156" s="40"/>
      <c r="L156" s="40"/>
    </row>
    <row r="157" spans="1:12" s="43" customFormat="1">
      <c r="A157" s="55"/>
      <c r="F157" s="40"/>
      <c r="G157" s="40"/>
      <c r="H157" s="40"/>
      <c r="I157" s="40"/>
      <c r="J157" s="40"/>
      <c r="K157" s="40"/>
      <c r="L157" s="40"/>
    </row>
    <row r="158" spans="1:12" s="43" customFormat="1">
      <c r="A158" s="55"/>
      <c r="F158" s="40"/>
      <c r="G158" s="40"/>
      <c r="H158" s="40"/>
      <c r="I158" s="40"/>
      <c r="J158" s="40"/>
      <c r="K158" s="40"/>
      <c r="L158" s="40"/>
    </row>
    <row r="159" spans="1:12" s="43" customFormat="1">
      <c r="A159" s="55"/>
      <c r="F159" s="40"/>
      <c r="G159" s="40"/>
      <c r="H159" s="40"/>
      <c r="I159" s="40"/>
      <c r="J159" s="40"/>
      <c r="K159" s="40"/>
      <c r="L159" s="40"/>
    </row>
    <row r="160" spans="1:12" s="43" customFormat="1">
      <c r="A160" s="55"/>
      <c r="F160" s="40"/>
      <c r="G160" s="40"/>
      <c r="H160" s="40"/>
      <c r="I160" s="40"/>
      <c r="J160" s="40"/>
      <c r="K160" s="40"/>
      <c r="L160" s="40"/>
    </row>
    <row r="161" spans="1:12" s="43" customFormat="1">
      <c r="A161" s="55"/>
      <c r="F161" s="40"/>
      <c r="G161" s="40"/>
      <c r="H161" s="40"/>
      <c r="I161" s="40"/>
      <c r="J161" s="40"/>
      <c r="K161" s="40"/>
      <c r="L161" s="40"/>
    </row>
    <row r="162" spans="1:12" s="43" customFormat="1">
      <c r="A162" s="55"/>
      <c r="F162" s="40"/>
      <c r="G162" s="40"/>
      <c r="H162" s="40"/>
      <c r="I162" s="40"/>
      <c r="J162" s="40"/>
      <c r="K162" s="40"/>
      <c r="L162" s="40"/>
    </row>
    <row r="163" spans="1:12" s="43" customFormat="1">
      <c r="A163" s="55"/>
      <c r="F163" s="40"/>
      <c r="G163" s="40"/>
      <c r="H163" s="40"/>
      <c r="I163" s="40"/>
      <c r="J163" s="40"/>
      <c r="K163" s="40"/>
      <c r="L163" s="40"/>
    </row>
    <row r="164" spans="1:12" s="43" customFormat="1">
      <c r="A164" s="55"/>
      <c r="F164" s="40"/>
      <c r="G164" s="40"/>
      <c r="H164" s="40"/>
      <c r="I164" s="40"/>
      <c r="J164" s="40"/>
      <c r="K164" s="40"/>
      <c r="L164" s="40"/>
    </row>
    <row r="165" spans="1:12" s="43" customFormat="1">
      <c r="A165" s="55"/>
      <c r="F165" s="40"/>
      <c r="G165" s="40"/>
      <c r="H165" s="40"/>
      <c r="I165" s="40"/>
      <c r="J165" s="40"/>
      <c r="K165" s="40"/>
      <c r="L165" s="40"/>
    </row>
    <row r="166" spans="1:12" s="43" customFormat="1">
      <c r="A166" s="55"/>
      <c r="F166" s="40"/>
      <c r="G166" s="40"/>
      <c r="H166" s="40"/>
      <c r="I166" s="40"/>
      <c r="J166" s="40"/>
      <c r="K166" s="40"/>
      <c r="L166" s="40"/>
    </row>
    <row r="167" spans="1:12" s="43" customFormat="1">
      <c r="A167" s="55"/>
      <c r="F167" s="40"/>
      <c r="G167" s="40"/>
      <c r="H167" s="40"/>
      <c r="I167" s="40"/>
      <c r="J167" s="40"/>
      <c r="K167" s="40"/>
      <c r="L167" s="40"/>
    </row>
    <row r="168" spans="1:12" s="43" customFormat="1">
      <c r="A168" s="55"/>
      <c r="F168" s="40"/>
      <c r="G168" s="40"/>
      <c r="H168" s="40"/>
      <c r="I168" s="40"/>
      <c r="J168" s="40"/>
      <c r="K168" s="40"/>
      <c r="L168" s="40"/>
    </row>
    <row r="169" spans="1:12" s="43" customFormat="1">
      <c r="A169" s="55"/>
      <c r="F169" s="40"/>
      <c r="G169" s="40"/>
      <c r="H169" s="40"/>
      <c r="I169" s="40"/>
      <c r="J169" s="40"/>
      <c r="K169" s="40"/>
      <c r="L169" s="40"/>
    </row>
    <row r="170" spans="1:12" s="43" customFormat="1">
      <c r="A170" s="55"/>
      <c r="F170" s="40"/>
      <c r="G170" s="40"/>
      <c r="H170" s="40"/>
      <c r="I170" s="40"/>
      <c r="J170" s="40"/>
      <c r="K170" s="40"/>
      <c r="L170" s="40"/>
    </row>
    <row r="171" spans="1:12" s="43" customFormat="1">
      <c r="A171" s="55"/>
      <c r="F171" s="40"/>
      <c r="G171" s="40"/>
      <c r="H171" s="40"/>
      <c r="I171" s="40"/>
      <c r="J171" s="40"/>
      <c r="K171" s="40"/>
      <c r="L171" s="40"/>
    </row>
    <row r="172" spans="1:12" s="43" customFormat="1">
      <c r="A172" s="55"/>
      <c r="F172" s="40"/>
      <c r="G172" s="40"/>
      <c r="H172" s="40"/>
      <c r="I172" s="40"/>
      <c r="J172" s="40"/>
      <c r="K172" s="40"/>
      <c r="L172" s="40"/>
    </row>
    <row r="173" spans="1:12" s="43" customFormat="1">
      <c r="A173" s="55"/>
      <c r="F173" s="40"/>
      <c r="G173" s="40"/>
      <c r="H173" s="40"/>
      <c r="I173" s="40"/>
      <c r="J173" s="40"/>
      <c r="K173" s="40"/>
      <c r="L173" s="40"/>
    </row>
    <row r="174" spans="1:12" s="43" customFormat="1">
      <c r="A174" s="55"/>
      <c r="F174" s="40"/>
      <c r="G174" s="40"/>
      <c r="H174" s="40"/>
      <c r="I174" s="40"/>
      <c r="J174" s="40"/>
      <c r="K174" s="40"/>
      <c r="L174" s="40"/>
    </row>
    <row r="175" spans="1:12" s="43" customFormat="1">
      <c r="A175" s="55"/>
      <c r="F175" s="40"/>
      <c r="G175" s="40"/>
      <c r="H175" s="40"/>
      <c r="I175" s="40"/>
      <c r="J175" s="40"/>
      <c r="K175" s="40"/>
      <c r="L175" s="40"/>
    </row>
    <row r="176" spans="1:12" s="43" customFormat="1">
      <c r="A176" s="55"/>
      <c r="F176" s="40"/>
      <c r="G176" s="40"/>
      <c r="H176" s="40"/>
      <c r="I176" s="40"/>
      <c r="J176" s="40"/>
      <c r="K176" s="40"/>
      <c r="L176" s="40"/>
    </row>
    <row r="177" spans="1:12" s="43" customFormat="1">
      <c r="A177" s="55"/>
      <c r="F177" s="40"/>
      <c r="G177" s="40"/>
      <c r="H177" s="40"/>
      <c r="I177" s="40"/>
      <c r="J177" s="40"/>
      <c r="K177" s="40"/>
      <c r="L177" s="40"/>
    </row>
    <row r="178" spans="1:12" s="43" customFormat="1">
      <c r="A178" s="55"/>
      <c r="F178" s="40"/>
      <c r="G178" s="40"/>
      <c r="H178" s="40"/>
      <c r="I178" s="40"/>
      <c r="J178" s="40"/>
      <c r="K178" s="40"/>
      <c r="L178" s="40"/>
    </row>
    <row r="179" spans="1:12" s="43" customFormat="1">
      <c r="A179" s="55"/>
      <c r="F179" s="40"/>
      <c r="G179" s="40"/>
      <c r="H179" s="40"/>
      <c r="I179" s="40"/>
      <c r="J179" s="40"/>
      <c r="K179" s="40"/>
      <c r="L179" s="40"/>
    </row>
    <row r="180" spans="1:12" s="43" customFormat="1">
      <c r="A180" s="55"/>
      <c r="F180" s="40"/>
      <c r="G180" s="40"/>
      <c r="H180" s="40"/>
      <c r="I180" s="40"/>
      <c r="J180" s="40"/>
      <c r="K180" s="40"/>
      <c r="L180" s="40"/>
    </row>
    <row r="181" spans="1:12" s="43" customFormat="1">
      <c r="A181" s="55"/>
      <c r="F181" s="40"/>
      <c r="G181" s="40"/>
      <c r="H181" s="40"/>
      <c r="I181" s="40"/>
      <c r="J181" s="40"/>
      <c r="K181" s="40"/>
      <c r="L181" s="40"/>
    </row>
    <row r="182" spans="1:12" s="43" customFormat="1">
      <c r="A182" s="55"/>
      <c r="F182" s="40"/>
      <c r="G182" s="40"/>
      <c r="H182" s="40"/>
      <c r="I182" s="40"/>
      <c r="J182" s="40"/>
      <c r="K182" s="40"/>
      <c r="L182" s="40"/>
    </row>
    <row r="183" spans="1:12" s="43" customFormat="1">
      <c r="A183" s="55"/>
      <c r="F183" s="40"/>
      <c r="G183" s="40"/>
      <c r="H183" s="40"/>
      <c r="I183" s="40"/>
      <c r="J183" s="40"/>
      <c r="K183" s="40"/>
      <c r="L183" s="40"/>
    </row>
    <row r="184" spans="1:12" s="43" customFormat="1">
      <c r="A184" s="55"/>
      <c r="F184" s="40"/>
      <c r="G184" s="40"/>
      <c r="H184" s="40"/>
      <c r="I184" s="40"/>
      <c r="J184" s="40"/>
      <c r="K184" s="40"/>
      <c r="L184" s="40"/>
    </row>
    <row r="185" spans="1:12" s="43" customFormat="1">
      <c r="A185" s="55"/>
      <c r="F185" s="40"/>
      <c r="G185" s="40"/>
      <c r="H185" s="40"/>
      <c r="I185" s="40"/>
      <c r="J185" s="40"/>
      <c r="K185" s="40"/>
      <c r="L185" s="40"/>
    </row>
    <row r="186" spans="1:12" s="43" customFormat="1">
      <c r="A186" s="55"/>
      <c r="F186" s="40"/>
      <c r="G186" s="40"/>
      <c r="H186" s="40"/>
      <c r="I186" s="40"/>
      <c r="J186" s="40"/>
      <c r="K186" s="40"/>
      <c r="L186" s="40"/>
    </row>
    <row r="187" spans="1:12" s="43" customFormat="1">
      <c r="A187" s="55"/>
      <c r="F187" s="40"/>
      <c r="G187" s="40"/>
      <c r="H187" s="40"/>
      <c r="I187" s="40"/>
      <c r="J187" s="40"/>
      <c r="K187" s="40"/>
      <c r="L187" s="40"/>
    </row>
    <row r="188" spans="1:12" s="43" customFormat="1">
      <c r="A188" s="55"/>
      <c r="F188" s="40"/>
      <c r="G188" s="40"/>
      <c r="H188" s="40"/>
      <c r="I188" s="40"/>
      <c r="J188" s="40"/>
      <c r="K188" s="40"/>
      <c r="L188" s="40"/>
    </row>
    <row r="189" spans="1:12" s="43" customFormat="1">
      <c r="A189" s="55"/>
      <c r="F189" s="40"/>
      <c r="G189" s="40"/>
      <c r="H189" s="40"/>
      <c r="I189" s="40"/>
      <c r="J189" s="40"/>
      <c r="K189" s="40"/>
      <c r="L189" s="40"/>
    </row>
    <row r="190" spans="1:12" s="43" customFormat="1">
      <c r="A190" s="55"/>
      <c r="F190" s="40"/>
      <c r="G190" s="40"/>
      <c r="H190" s="40"/>
      <c r="I190" s="40"/>
      <c r="J190" s="40"/>
      <c r="K190" s="40"/>
      <c r="L190" s="40"/>
    </row>
    <row r="191" spans="1:12" s="43" customFormat="1">
      <c r="A191" s="55"/>
      <c r="F191" s="40"/>
      <c r="G191" s="40"/>
      <c r="H191" s="40"/>
      <c r="I191" s="40"/>
      <c r="J191" s="40"/>
      <c r="K191" s="40"/>
      <c r="L191" s="40"/>
    </row>
    <row r="192" spans="1:12" s="43" customFormat="1">
      <c r="A192" s="55"/>
      <c r="F192" s="40"/>
      <c r="G192" s="40"/>
      <c r="H192" s="40"/>
      <c r="I192" s="40"/>
      <c r="J192" s="40"/>
      <c r="K192" s="40"/>
      <c r="L192" s="40"/>
    </row>
    <row r="193" spans="1:12" s="43" customFormat="1">
      <c r="A193" s="55"/>
      <c r="F193" s="40"/>
      <c r="G193" s="40"/>
      <c r="H193" s="40"/>
      <c r="I193" s="40"/>
      <c r="J193" s="40"/>
      <c r="K193" s="40"/>
      <c r="L193" s="40"/>
    </row>
  </sheetData>
  <mergeCells count="28">
    <mergeCell ref="A7:J7"/>
    <mergeCell ref="A17:J17"/>
    <mergeCell ref="H45:J45"/>
    <mergeCell ref="A2:J2"/>
    <mergeCell ref="A4:A5"/>
    <mergeCell ref="B4:B5"/>
    <mergeCell ref="C4:C5"/>
    <mergeCell ref="D4:D5"/>
    <mergeCell ref="E4:E5"/>
    <mergeCell ref="F4:F5"/>
    <mergeCell ref="C48:D48"/>
    <mergeCell ref="E48:G48"/>
    <mergeCell ref="H46:J46"/>
    <mergeCell ref="C46:D46"/>
    <mergeCell ref="E46:G46"/>
    <mergeCell ref="G4:J4"/>
    <mergeCell ref="C45:D45"/>
    <mergeCell ref="E45:G45"/>
    <mergeCell ref="C47:D47"/>
    <mergeCell ref="E47:G47"/>
    <mergeCell ref="C52:D52"/>
    <mergeCell ref="E52:G52"/>
    <mergeCell ref="C49:D49"/>
    <mergeCell ref="E49:G49"/>
    <mergeCell ref="C50:D50"/>
    <mergeCell ref="E50:G50"/>
    <mergeCell ref="C51:D51"/>
    <mergeCell ref="E51:G51"/>
  </mergeCells>
  <phoneticPr fontId="3" type="noConversion"/>
  <pageMargins left="0.59055118110236227" right="0.11811023622047245" top="0" bottom="0" header="0.19685039370078741" footer="0.11811023622047245"/>
  <pageSetup paperSize="9" scale="63" orientation="portrait" verticalDpi="300" r:id="rId1"/>
  <headerFooter alignWithMargins="0"/>
  <ignoredErrors>
    <ignoredError sqref="F42:F43 F18 F24:F32 F37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N175"/>
  <sheetViews>
    <sheetView view="pageBreakPreview" topLeftCell="A154" zoomScaleSheetLayoutView="100" workbookViewId="0">
      <selection activeCell="H133" sqref="H133:H140"/>
    </sheetView>
  </sheetViews>
  <sheetFormatPr defaultRowHeight="16.5" outlineLevelRow="1"/>
  <cols>
    <col min="1" max="1" width="42" style="359" customWidth="1"/>
    <col min="2" max="2" width="5.5703125" style="359" customWidth="1"/>
    <col min="3" max="3" width="12.28515625" style="359" customWidth="1"/>
    <col min="4" max="4" width="11.85546875" style="359" customWidth="1"/>
    <col min="5" max="5" width="12.140625" style="359" customWidth="1"/>
    <col min="6" max="6" width="12.5703125" style="359" customWidth="1"/>
    <col min="7" max="7" width="11.85546875" style="359" customWidth="1"/>
    <col min="8" max="8" width="11.42578125" style="359" customWidth="1"/>
    <col min="9" max="9" width="11" style="359" customWidth="1"/>
    <col min="10" max="10" width="11.140625" style="359" customWidth="1"/>
    <col min="11" max="16384" width="9.140625" style="359"/>
  </cols>
  <sheetData>
    <row r="1" spans="1:10" ht="32.25" customHeight="1">
      <c r="A1" s="595" t="s">
        <v>806</v>
      </c>
      <c r="B1" s="595"/>
      <c r="C1" s="595"/>
      <c r="D1" s="595"/>
      <c r="E1" s="595"/>
      <c r="F1" s="595"/>
      <c r="G1" s="595"/>
      <c r="H1" s="595"/>
      <c r="I1" s="595"/>
      <c r="J1" s="595"/>
    </row>
    <row r="2" spans="1:10" ht="9" hidden="1" customHeight="1" outlineLevel="1">
      <c r="A2" s="360"/>
      <c r="B2" s="360"/>
      <c r="C2" s="360"/>
      <c r="D2" s="360"/>
      <c r="E2" s="360"/>
      <c r="F2" s="360"/>
      <c r="G2" s="360"/>
      <c r="H2" s="360"/>
      <c r="I2" s="360"/>
      <c r="J2" s="360"/>
    </row>
    <row r="3" spans="1:10" ht="21" customHeight="1" collapsed="1">
      <c r="A3" s="596"/>
      <c r="B3" s="597" t="s">
        <v>505</v>
      </c>
      <c r="C3" s="597" t="s">
        <v>506</v>
      </c>
      <c r="D3" s="598" t="s">
        <v>507</v>
      </c>
      <c r="E3" s="599" t="s">
        <v>812</v>
      </c>
      <c r="F3" s="600" t="s">
        <v>680</v>
      </c>
      <c r="G3" s="601" t="s">
        <v>508</v>
      </c>
      <c r="H3" s="601"/>
      <c r="I3" s="601"/>
      <c r="J3" s="601"/>
    </row>
    <row r="4" spans="1:10" ht="47.25" customHeight="1">
      <c r="A4" s="596"/>
      <c r="B4" s="597"/>
      <c r="C4" s="597"/>
      <c r="D4" s="598"/>
      <c r="E4" s="599"/>
      <c r="F4" s="600"/>
      <c r="G4" s="358" t="s">
        <v>824</v>
      </c>
      <c r="H4" s="358" t="s">
        <v>825</v>
      </c>
      <c r="I4" s="358" t="s">
        <v>826</v>
      </c>
      <c r="J4" s="358" t="s">
        <v>735</v>
      </c>
    </row>
    <row r="5" spans="1:10" ht="26.25" customHeight="1">
      <c r="A5" s="602" t="s">
        <v>509</v>
      </c>
      <c r="B5" s="602"/>
      <c r="C5" s="602"/>
      <c r="D5" s="602"/>
      <c r="E5" s="602"/>
      <c r="F5" s="602"/>
      <c r="G5" s="602"/>
      <c r="H5" s="602"/>
      <c r="I5" s="602"/>
      <c r="J5" s="602"/>
    </row>
    <row r="6" spans="1:10" ht="38.25" customHeight="1">
      <c r="A6" s="361" t="s">
        <v>510</v>
      </c>
      <c r="B6" s="362" t="s">
        <v>511</v>
      </c>
      <c r="C6" s="410">
        <f>SUM(C7:C11)</f>
        <v>130336.4</v>
      </c>
      <c r="D6" s="410">
        <f t="shared" ref="D6:J6" si="0">SUM(D7:D11)</f>
        <v>135677.24</v>
      </c>
      <c r="E6" s="410">
        <f t="shared" si="0"/>
        <v>139167.16863999999</v>
      </c>
      <c r="F6" s="410">
        <f t="shared" si="0"/>
        <v>165593.55999999997</v>
      </c>
      <c r="G6" s="410">
        <f t="shared" si="0"/>
        <v>38391.480000000003</v>
      </c>
      <c r="H6" s="410">
        <f t="shared" si="0"/>
        <v>42054.299999999996</v>
      </c>
      <c r="I6" s="410">
        <f t="shared" si="0"/>
        <v>42732.539999999994</v>
      </c>
      <c r="J6" s="410">
        <f t="shared" si="0"/>
        <v>42415.239999999991</v>
      </c>
    </row>
    <row r="7" spans="1:10" ht="33" customHeight="1">
      <c r="A7" s="363" t="s">
        <v>201</v>
      </c>
      <c r="B7" s="364" t="s">
        <v>512</v>
      </c>
      <c r="C7" s="409">
        <v>101353.2</v>
      </c>
      <c r="D7" s="409">
        <v>128156.03999999998</v>
      </c>
      <c r="E7" s="409">
        <f ca="1">'I. Фін результат'!E7*1.2</f>
        <v>132050.88863999999</v>
      </c>
      <c r="F7" s="423">
        <f ca="1">SUM(G7:J7)</f>
        <v>158104.55999999997</v>
      </c>
      <c r="G7" s="429">
        <f ca="1">'I. Фін результат'!G7*1.2</f>
        <v>36597.480000000003</v>
      </c>
      <c r="H7" s="429">
        <f ca="1">'I. Фін результат'!H7*1.2</f>
        <v>40057.799999999996</v>
      </c>
      <c r="I7" s="429">
        <f ca="1">'I. Фін результат'!I7*1.2</f>
        <v>40724.639999999992</v>
      </c>
      <c r="J7" s="429">
        <f ca="1">'I. Фін результат'!J7*1.2</f>
        <v>40724.639999999992</v>
      </c>
    </row>
    <row r="8" spans="1:10">
      <c r="A8" s="365" t="s">
        <v>588</v>
      </c>
      <c r="B8" s="364" t="s">
        <v>513</v>
      </c>
      <c r="C8" s="409">
        <v>15435.8</v>
      </c>
      <c r="D8" s="409">
        <v>0</v>
      </c>
      <c r="E8" s="409"/>
      <c r="F8" s="423">
        <f t="shared" ref="F8:F38" si="1">SUM(G8:J8)</f>
        <v>0</v>
      </c>
      <c r="G8" s="409"/>
      <c r="H8" s="409"/>
      <c r="I8" s="409"/>
      <c r="J8" s="409"/>
    </row>
    <row r="9" spans="1:10">
      <c r="A9" s="363" t="s">
        <v>514</v>
      </c>
      <c r="B9" s="364" t="s">
        <v>515</v>
      </c>
      <c r="C9" s="409">
        <v>0</v>
      </c>
      <c r="D9" s="409">
        <v>0</v>
      </c>
      <c r="E9" s="409"/>
      <c r="F9" s="423">
        <f t="shared" si="1"/>
        <v>0</v>
      </c>
      <c r="G9" s="409"/>
      <c r="H9" s="409"/>
      <c r="I9" s="409"/>
      <c r="J9" s="409"/>
    </row>
    <row r="10" spans="1:10">
      <c r="A10" s="365" t="s">
        <v>589</v>
      </c>
      <c r="B10" s="364" t="s">
        <v>516</v>
      </c>
      <c r="C10" s="409">
        <v>601</v>
      </c>
      <c r="D10" s="409">
        <v>0</v>
      </c>
      <c r="E10" s="409"/>
      <c r="F10" s="423">
        <f t="shared" si="1"/>
        <v>0</v>
      </c>
      <c r="G10" s="409"/>
      <c r="H10" s="409"/>
      <c r="I10" s="409"/>
      <c r="J10" s="409"/>
    </row>
    <row r="11" spans="1:10">
      <c r="A11" s="365" t="s">
        <v>590</v>
      </c>
      <c r="B11" s="366" t="s">
        <v>517</v>
      </c>
      <c r="C11" s="424">
        <f>SUM(C12:C20)</f>
        <v>12946.399999999998</v>
      </c>
      <c r="D11" s="424">
        <f>SUM(D12:D20)</f>
        <v>7521.2</v>
      </c>
      <c r="E11" s="417">
        <f>SUM(E12:E20)</f>
        <v>7116.28</v>
      </c>
      <c r="F11" s="423">
        <f>SUM(G11:J11)</f>
        <v>7489</v>
      </c>
      <c r="G11" s="417">
        <f>SUM(G12:G20)</f>
        <v>1794</v>
      </c>
      <c r="H11" s="417">
        <f>SUM(H12:H20)</f>
        <v>1996.5</v>
      </c>
      <c r="I11" s="417">
        <f>SUM(I12:I20)</f>
        <v>2007.9</v>
      </c>
      <c r="J11" s="417">
        <f>SUM(J12:J20)</f>
        <v>1690.6</v>
      </c>
    </row>
    <row r="12" spans="1:10">
      <c r="A12" s="412" t="s">
        <v>604</v>
      </c>
      <c r="B12" s="411" t="s">
        <v>598</v>
      </c>
      <c r="C12" s="409">
        <v>8745.1</v>
      </c>
      <c r="D12" s="409">
        <v>0</v>
      </c>
      <c r="E12" s="409">
        <f ca="1">'I. Фін результат'!E47</f>
        <v>0</v>
      </c>
      <c r="F12" s="423">
        <f t="shared" si="1"/>
        <v>0</v>
      </c>
      <c r="G12" s="409"/>
      <c r="H12" s="409"/>
      <c r="I12" s="409"/>
      <c r="J12" s="409"/>
    </row>
    <row r="13" spans="1:10">
      <c r="A13" s="412" t="s">
        <v>605</v>
      </c>
      <c r="B13" s="411" t="s">
        <v>599</v>
      </c>
      <c r="C13" s="409">
        <v>63.4</v>
      </c>
      <c r="D13" s="409">
        <v>14.9</v>
      </c>
      <c r="E13" s="409">
        <f ca="1">'I. Фін результат'!E45*1.2</f>
        <v>60</v>
      </c>
      <c r="F13" s="423">
        <f t="shared" si="1"/>
        <v>168</v>
      </c>
      <c r="G13" s="409">
        <f ca="1">'I. Фін результат'!G45*1.2</f>
        <v>0</v>
      </c>
      <c r="H13" s="409">
        <f ca="1">'I. Фін результат'!H45*1.2</f>
        <v>55.199999999999996</v>
      </c>
      <c r="I13" s="409">
        <f ca="1">'I. Фін результат'!I45*1.2</f>
        <v>55.199999999999996</v>
      </c>
      <c r="J13" s="409">
        <f ca="1">'I. Фін результат'!J45*1.2</f>
        <v>57.599999999999994</v>
      </c>
    </row>
    <row r="14" spans="1:10">
      <c r="A14" s="412" t="s">
        <v>606</v>
      </c>
      <c r="B14" s="411" t="s">
        <v>600</v>
      </c>
      <c r="C14" s="409">
        <v>89.9</v>
      </c>
      <c r="D14" s="409">
        <v>114</v>
      </c>
      <c r="E14" s="409">
        <f ca="1">'I. Фін результат'!E46*1.2</f>
        <v>240</v>
      </c>
      <c r="F14" s="423">
        <f t="shared" si="1"/>
        <v>240</v>
      </c>
      <c r="G14" s="409">
        <f ca="1">'I. Фін результат'!G46*1.2</f>
        <v>60</v>
      </c>
      <c r="H14" s="409">
        <f ca="1">'I. Фін результат'!H46*1.2</f>
        <v>60</v>
      </c>
      <c r="I14" s="409">
        <f ca="1">'I. Фін результат'!I46*1.2</f>
        <v>60</v>
      </c>
      <c r="J14" s="409">
        <f ca="1">'I. Фін результат'!J46*1.2</f>
        <v>60</v>
      </c>
    </row>
    <row r="15" spans="1:10">
      <c r="A15" s="412" t="s">
        <v>607</v>
      </c>
      <c r="B15" s="411" t="s">
        <v>601</v>
      </c>
      <c r="C15" s="409">
        <v>2127.1999999999998</v>
      </c>
      <c r="D15" s="409">
        <v>2640</v>
      </c>
      <c r="E15" s="409">
        <f ca="1">'I. Фін результат'!E48*1.2</f>
        <v>1440</v>
      </c>
      <c r="F15" s="423">
        <f t="shared" si="1"/>
        <v>2640</v>
      </c>
      <c r="G15" s="409">
        <f ca="1">'I. Фін результат'!G48*1.2</f>
        <v>660</v>
      </c>
      <c r="H15" s="409">
        <f ca="1">'I. Фін результат'!H48*1.2</f>
        <v>660</v>
      </c>
      <c r="I15" s="409">
        <f ca="1">'I. Фін результат'!I48*1.2</f>
        <v>660</v>
      </c>
      <c r="J15" s="409">
        <f ca="1">'I. Фін результат'!J48*1.2</f>
        <v>660</v>
      </c>
    </row>
    <row r="16" spans="1:10">
      <c r="A16" s="412" t="s">
        <v>608</v>
      </c>
      <c r="B16" s="411" t="s">
        <v>602</v>
      </c>
      <c r="C16" s="409">
        <v>531.29999999999995</v>
      </c>
      <c r="D16" s="409">
        <v>737.3</v>
      </c>
      <c r="E16" s="409">
        <f ca="1">'I. Фін результат'!E49*1.2</f>
        <v>737.28</v>
      </c>
      <c r="F16" s="423">
        <f t="shared" si="1"/>
        <v>853</v>
      </c>
      <c r="G16" s="409">
        <f ca="1">'I. Фін результат'!G49*1.2</f>
        <v>0</v>
      </c>
      <c r="H16" s="409">
        <v>387.3</v>
      </c>
      <c r="I16" s="409">
        <v>446.7</v>
      </c>
      <c r="J16" s="409">
        <v>19</v>
      </c>
    </row>
    <row r="17" spans="1:10">
      <c r="A17" s="412" t="s">
        <v>609</v>
      </c>
      <c r="B17" s="411" t="s">
        <v>603</v>
      </c>
      <c r="C17" s="425"/>
      <c r="D17" s="409">
        <v>0</v>
      </c>
      <c r="E17" s="409"/>
      <c r="F17" s="423">
        <f t="shared" si="1"/>
        <v>0</v>
      </c>
      <c r="G17" s="409"/>
      <c r="H17" s="409"/>
      <c r="I17" s="409"/>
      <c r="J17" s="409"/>
    </row>
    <row r="18" spans="1:10" ht="39.75" customHeight="1">
      <c r="A18" s="437" t="s">
        <v>250</v>
      </c>
      <c r="B18" s="411" t="s">
        <v>611</v>
      </c>
      <c r="C18" s="425"/>
      <c r="D18" s="409">
        <v>1495</v>
      </c>
      <c r="E18" s="409">
        <v>1495</v>
      </c>
      <c r="F18" s="423">
        <f t="shared" si="1"/>
        <v>0</v>
      </c>
      <c r="G18" s="409"/>
      <c r="H18" s="409"/>
      <c r="I18" s="409"/>
      <c r="J18" s="409"/>
    </row>
    <row r="19" spans="1:10">
      <c r="A19" s="412" t="s">
        <v>610</v>
      </c>
      <c r="B19" s="411" t="s">
        <v>612</v>
      </c>
      <c r="C19" s="409">
        <v>462.4</v>
      </c>
      <c r="D19" s="409">
        <v>504</v>
      </c>
      <c r="E19" s="409">
        <f ca="1">'I. Фін результат'!E51*1.2</f>
        <v>504</v>
      </c>
      <c r="F19" s="423">
        <f t="shared" si="1"/>
        <v>588</v>
      </c>
      <c r="G19" s="409">
        <f ca="1">'I. Фін результат'!G51*1.2</f>
        <v>324</v>
      </c>
      <c r="H19" s="409">
        <f ca="1">'I. Фін результат'!H51*1.2</f>
        <v>84</v>
      </c>
      <c r="I19" s="409">
        <f ca="1">'I. Фін результат'!I51*1.2</f>
        <v>36</v>
      </c>
      <c r="J19" s="409">
        <f ca="1">'I. Фін результат'!J51*1.2</f>
        <v>144</v>
      </c>
    </row>
    <row r="20" spans="1:10">
      <c r="A20" s="412" t="s">
        <v>1202</v>
      </c>
      <c r="B20" s="411" t="s">
        <v>237</v>
      </c>
      <c r="C20" s="409">
        <v>927.1</v>
      </c>
      <c r="D20" s="409">
        <v>2016</v>
      </c>
      <c r="E20" s="409">
        <f ca="1">'I. Фін результат'!E53*1.2</f>
        <v>2640</v>
      </c>
      <c r="F20" s="423">
        <f t="shared" si="1"/>
        <v>3000</v>
      </c>
      <c r="G20" s="409">
        <f ca="1">'I. Фін результат'!G53*1.2</f>
        <v>750</v>
      </c>
      <c r="H20" s="409">
        <f ca="1">'I. Фін результат'!H53*1.2</f>
        <v>750</v>
      </c>
      <c r="I20" s="409">
        <f ca="1">'I. Фін результат'!I53*1.2</f>
        <v>750</v>
      </c>
      <c r="J20" s="409">
        <f ca="1">'I. Фін результат'!J53*1.2</f>
        <v>750</v>
      </c>
    </row>
    <row r="21" spans="1:10" ht="40.5" customHeight="1">
      <c r="A21" s="361" t="s">
        <v>518</v>
      </c>
      <c r="B21" s="362" t="s">
        <v>519</v>
      </c>
      <c r="C21" s="410">
        <f>C22+C23+C24+C25+C32</f>
        <v>141567.9</v>
      </c>
      <c r="D21" s="410">
        <f>D22+D23+D24+D25+D32</f>
        <v>141653.20000000001</v>
      </c>
      <c r="E21" s="410">
        <f ca="1">E22+E23+E24+E25+E32</f>
        <v>145048.4</v>
      </c>
      <c r="F21" s="410">
        <f ca="1">SUM(G21:J21)</f>
        <v>195743.09999999998</v>
      </c>
      <c r="G21" s="410">
        <f ca="1">G22+G23+G24+G25+G32</f>
        <v>49186.799999999996</v>
      </c>
      <c r="H21" s="410">
        <f ca="1">H22+H23+H24+H25+H32</f>
        <v>54703.200000000004</v>
      </c>
      <c r="I21" s="410">
        <f ca="1">I22+I23+I24+I25+I32</f>
        <v>49792.899999999994</v>
      </c>
      <c r="J21" s="410">
        <f ca="1">J22+J23+J24+J25+J32</f>
        <v>42060.2</v>
      </c>
    </row>
    <row r="22" spans="1:10" ht="21.75" customHeight="1">
      <c r="A22" s="363" t="s">
        <v>520</v>
      </c>
      <c r="B22" s="364" t="s">
        <v>521</v>
      </c>
      <c r="C22" s="409">
        <f>77176.4+390.8+323.3</f>
        <v>77890.5</v>
      </c>
      <c r="D22" s="409">
        <v>67740.600000000006</v>
      </c>
      <c r="E22" s="480">
        <f ca="1">63864.7+31.3+5348.4+6500+2500-150+17.5+30-3000</f>
        <v>75141.899999999994</v>
      </c>
      <c r="F22" s="423">
        <f ca="1">SUM(G22:J22)</f>
        <v>113601.70000000001</v>
      </c>
      <c r="G22" s="409">
        <f ca="1">19004.9-223.5-110+1537.6-3290.1-18.3+94+6392.9-5300+2572-38.5+1682.2+2822-7500+1700+3000+8250</f>
        <v>30575.200000000001</v>
      </c>
      <c r="H22" s="409">
        <f ca="1">14679.9-110+1855.1-359.2-15.6+92.9+97.4+1500+2642.7-55.5+2382.4+1495-7800+2000+0.9+1700-1495+16.1+14899.5+2565</f>
        <v>36091.600000000006</v>
      </c>
      <c r="I22" s="409">
        <f ca="1">13519.4-110+1854.9-617.2-15.1+91.5+99.7+1300+2678.2-77.5+2272.5-7600+2000-200+1400+80.6+2939.3-1282.5+9000</f>
        <v>27333.799999999996</v>
      </c>
      <c r="J22" s="409">
        <f ca="1">10928-110+1855.1-976.6-15+90.9+102.8+2500+2727.3-60.5+2121.9-6350+2000+1500-300+9.1+1900+19+2941.6-1282.5</f>
        <v>19601.099999999999</v>
      </c>
    </row>
    <row r="23" spans="1:10">
      <c r="A23" s="363" t="s">
        <v>522</v>
      </c>
      <c r="B23" s="364" t="s">
        <v>523</v>
      </c>
      <c r="C23" s="409">
        <v>32175.8</v>
      </c>
      <c r="D23" s="409">
        <v>37808.201000000001</v>
      </c>
      <c r="E23" s="409">
        <f ca="1">'I. Фін результат'!E183-E27-E29-E34-E35-E37</f>
        <v>36377.550000000003</v>
      </c>
      <c r="F23" s="423">
        <f t="shared" si="1"/>
        <v>42145.714</v>
      </c>
      <c r="G23" s="409">
        <f ca="1">'I. Фін результат'!G183-G27-G29-G34-G35-G37</f>
        <v>9267.1044999999995</v>
      </c>
      <c r="H23" s="409">
        <f ca="1">'I. Фін результат'!H183-H27-H29-H34-H35-H37</f>
        <v>9267.1044999999995</v>
      </c>
      <c r="I23" s="409">
        <f ca="1">'I. Фін результат'!I183-I27-I29-I34-I35-I37</f>
        <v>11805.752500000001</v>
      </c>
      <c r="J23" s="409">
        <f ca="1">'I. Фін результат'!J183-J27-J29-J34-J35-J37</f>
        <v>11805.752500000001</v>
      </c>
    </row>
    <row r="24" spans="1:10" ht="15.75" customHeight="1">
      <c r="A24" s="363" t="s">
        <v>524</v>
      </c>
      <c r="B24" s="364" t="s">
        <v>525</v>
      </c>
      <c r="C24" s="409">
        <v>0</v>
      </c>
      <c r="D24" s="409">
        <v>0</v>
      </c>
      <c r="E24" s="409"/>
      <c r="F24" s="423">
        <f t="shared" si="1"/>
        <v>0</v>
      </c>
      <c r="G24" s="409"/>
      <c r="H24" s="409"/>
      <c r="I24" s="409"/>
      <c r="J24" s="409"/>
    </row>
    <row r="25" spans="1:10">
      <c r="A25" s="363" t="s">
        <v>591</v>
      </c>
      <c r="B25" s="366" t="s">
        <v>526</v>
      </c>
      <c r="C25" s="417">
        <f>SUM(C26:C31)</f>
        <v>14730</v>
      </c>
      <c r="D25" s="417">
        <f>SUM(D26:D31)</f>
        <v>23507.999000000003</v>
      </c>
      <c r="E25" s="417">
        <f>SUM(E26:E31)</f>
        <v>20956.949999999997</v>
      </c>
      <c r="F25" s="423">
        <f t="shared" si="1"/>
        <v>26389.085999999996</v>
      </c>
      <c r="G25" s="417">
        <f>SUM(G26:G31)</f>
        <v>6289.7955000000002</v>
      </c>
      <c r="H25" s="417">
        <f>SUM(H26:H31)</f>
        <v>6289.7955000000002</v>
      </c>
      <c r="I25" s="417">
        <f>SUM(I26:I31)</f>
        <v>6904.7474999999995</v>
      </c>
      <c r="J25" s="417">
        <f>SUM(J26:J31)</f>
        <v>6904.7474999999995</v>
      </c>
    </row>
    <row r="26" spans="1:10">
      <c r="A26" s="413" t="s">
        <v>613</v>
      </c>
      <c r="B26" s="411" t="s">
        <v>623</v>
      </c>
      <c r="C26" s="417">
        <v>5332.9</v>
      </c>
      <c r="D26" s="409">
        <v>10560</v>
      </c>
      <c r="E26" s="417">
        <f ca="1">'ІІ. Розр. з бюджетом'!E20</f>
        <v>8244.5</v>
      </c>
      <c r="F26" s="423">
        <f t="shared" si="1"/>
        <v>12000</v>
      </c>
      <c r="G26" s="417">
        <f ca="1">'ІІ. Розр. з бюджетом'!G20</f>
        <v>3000</v>
      </c>
      <c r="H26" s="417">
        <f ca="1">'ІІ. Розр. з бюджетом'!H20</f>
        <v>3000</v>
      </c>
      <c r="I26" s="417">
        <f ca="1">'ІІ. Розр. з бюджетом'!I20</f>
        <v>3000</v>
      </c>
      <c r="J26" s="417">
        <f ca="1">'ІІ. Розр. з бюджетом'!J20</f>
        <v>3000</v>
      </c>
    </row>
    <row r="27" spans="1:10">
      <c r="A27" s="413" t="s">
        <v>1276</v>
      </c>
      <c r="B27" s="411" t="s">
        <v>624</v>
      </c>
      <c r="C27" s="409">
        <v>604.9</v>
      </c>
      <c r="D27" s="409">
        <v>712.923</v>
      </c>
      <c r="E27" s="409">
        <f ca="1">'ІІ. Розр. з бюджетом'!E33</f>
        <v>688.65</v>
      </c>
      <c r="F27" s="423">
        <f t="shared" si="1"/>
        <v>797.62199999999996</v>
      </c>
      <c r="G27" s="409">
        <f ca="1">'ІІ. Розр. з бюджетом'!G33</f>
        <v>175.75349999999997</v>
      </c>
      <c r="H27" s="409">
        <f ca="1">'ІІ. Розр. з бюджетом'!H33</f>
        <v>175.75349999999997</v>
      </c>
      <c r="I27" s="409">
        <f ca="1">'ІІ. Розр. з бюджетом'!I33</f>
        <v>223.05750000000003</v>
      </c>
      <c r="J27" s="409">
        <f ca="1">'ІІ. Розр. з бюджетом'!J33</f>
        <v>223.05750000000003</v>
      </c>
    </row>
    <row r="28" spans="1:10">
      <c r="A28" s="413" t="s">
        <v>1278</v>
      </c>
      <c r="B28" s="411" t="s">
        <v>625</v>
      </c>
      <c r="C28" s="409">
        <v>640</v>
      </c>
      <c r="D28" s="409">
        <v>680</v>
      </c>
      <c r="E28" s="409">
        <f ca="1">'ІІ. Розр. з бюджетом'!E34</f>
        <v>720</v>
      </c>
      <c r="F28" s="423">
        <f t="shared" si="1"/>
        <v>800</v>
      </c>
      <c r="G28" s="409">
        <f ca="1">'ІІ. Розр. з бюджетом'!G34</f>
        <v>200</v>
      </c>
      <c r="H28" s="409">
        <f ca="1">'ІІ. Розр. з бюджетом'!H34</f>
        <v>200</v>
      </c>
      <c r="I28" s="409">
        <f ca="1">'ІІ. Розр. з бюджетом'!I34</f>
        <v>200</v>
      </c>
      <c r="J28" s="409">
        <f ca="1">'ІІ. Розр. з бюджетом'!J34</f>
        <v>200</v>
      </c>
    </row>
    <row r="29" spans="1:10">
      <c r="A29" s="413" t="s">
        <v>614</v>
      </c>
      <c r="B29" s="411" t="s">
        <v>626</v>
      </c>
      <c r="C29" s="409">
        <v>5788.2</v>
      </c>
      <c r="D29" s="409">
        <v>8555.0760000000009</v>
      </c>
      <c r="E29" s="409">
        <f ca="1">'ІІ. Розр. з бюджетом'!E28</f>
        <v>8263.7999999999993</v>
      </c>
      <c r="F29" s="423">
        <f t="shared" si="1"/>
        <v>9571.4639999999999</v>
      </c>
      <c r="G29" s="409">
        <f ca="1">'ІІ. Розр. з бюджетом'!G28</f>
        <v>2109.0419999999999</v>
      </c>
      <c r="H29" s="409">
        <f ca="1">'ІІ. Розр. з бюджетом'!H28</f>
        <v>2109.0419999999999</v>
      </c>
      <c r="I29" s="409">
        <f ca="1">'ІІ. Розр. з бюджетом'!I28</f>
        <v>2676.69</v>
      </c>
      <c r="J29" s="409">
        <f ca="1">'ІІ. Розр. з бюджетом'!J28</f>
        <v>2676.69</v>
      </c>
    </row>
    <row r="30" spans="1:10" ht="30.75" customHeight="1">
      <c r="A30" s="430" t="s">
        <v>615</v>
      </c>
      <c r="B30" s="411" t="s">
        <v>627</v>
      </c>
      <c r="C30" s="409">
        <v>642.4</v>
      </c>
      <c r="D30" s="409">
        <v>840</v>
      </c>
      <c r="E30" s="409">
        <f ca="1">'ІІ. Розр. з бюджетом'!E35</f>
        <v>880</v>
      </c>
      <c r="F30" s="423">
        <f t="shared" si="1"/>
        <v>960</v>
      </c>
      <c r="G30" s="409">
        <f ca="1">'ІІ. Розр. з бюджетом'!G35</f>
        <v>240</v>
      </c>
      <c r="H30" s="409">
        <f ca="1">'ІІ. Розр. з бюджетом'!H35</f>
        <v>240</v>
      </c>
      <c r="I30" s="409">
        <f ca="1">'ІІ. Розр. з бюджетом'!I35</f>
        <v>240</v>
      </c>
      <c r="J30" s="409">
        <f ca="1">'ІІ. Розр. з бюджетом'!J35</f>
        <v>240</v>
      </c>
    </row>
    <row r="31" spans="1:10">
      <c r="A31" s="414" t="s">
        <v>616</v>
      </c>
      <c r="B31" s="411" t="s">
        <v>628</v>
      </c>
      <c r="C31" s="409">
        <v>1721.6</v>
      </c>
      <c r="D31" s="409">
        <v>2160</v>
      </c>
      <c r="E31" s="409">
        <f ca="1">'ІІ. Розр. з бюджетом'!E38</f>
        <v>2160</v>
      </c>
      <c r="F31" s="423">
        <f t="shared" si="1"/>
        <v>2260</v>
      </c>
      <c r="G31" s="409">
        <f ca="1">'ІІ. Розр. з бюджетом'!G38</f>
        <v>565</v>
      </c>
      <c r="H31" s="409">
        <f ca="1">'ІІ. Розр. з бюджетом'!H38</f>
        <v>565</v>
      </c>
      <c r="I31" s="409">
        <f ca="1">'ІІ. Розр. з бюджетом'!I38</f>
        <v>565</v>
      </c>
      <c r="J31" s="409">
        <f ca="1">'ІІ. Розр. з бюджетом'!J38</f>
        <v>565</v>
      </c>
    </row>
    <row r="32" spans="1:10">
      <c r="A32" s="363" t="s">
        <v>592</v>
      </c>
      <c r="B32" s="366" t="s">
        <v>527</v>
      </c>
      <c r="C32" s="417">
        <f>SUM(C33:C38)</f>
        <v>16771.600000000002</v>
      </c>
      <c r="D32" s="417">
        <f>SUM(D33:D38)</f>
        <v>12596.4</v>
      </c>
      <c r="E32" s="417">
        <f>SUM(E33:E38)</f>
        <v>12572</v>
      </c>
      <c r="F32" s="423">
        <f t="shared" si="1"/>
        <v>13606.6</v>
      </c>
      <c r="G32" s="417">
        <f>SUM(G33:G38)</f>
        <v>3054.7</v>
      </c>
      <c r="H32" s="417">
        <f>SUM(H33:H38)</f>
        <v>3054.7</v>
      </c>
      <c r="I32" s="417">
        <f>SUM(I33:I38)</f>
        <v>3748.6000000000004</v>
      </c>
      <c r="J32" s="417">
        <f>SUM(J33:J38)</f>
        <v>3748.6000000000004</v>
      </c>
    </row>
    <row r="33" spans="1:10">
      <c r="A33" s="415" t="s">
        <v>617</v>
      </c>
      <c r="B33" s="411" t="s">
        <v>629</v>
      </c>
      <c r="C33" s="417">
        <v>15741.7</v>
      </c>
      <c r="D33" s="409">
        <v>10456.4</v>
      </c>
      <c r="E33" s="417">
        <f ca="1">'I. Фін результат'!E184</f>
        <v>10304</v>
      </c>
      <c r="F33" s="423">
        <f t="shared" si="1"/>
        <v>11698.6</v>
      </c>
      <c r="G33" s="417">
        <f ca="1">'I. Фін результат'!G184</f>
        <v>2577.6999999999998</v>
      </c>
      <c r="H33" s="417">
        <f ca="1">'I. Фін результат'!H184</f>
        <v>2577.6999999999998</v>
      </c>
      <c r="I33" s="417">
        <f ca="1">'I. Фін результат'!I184</f>
        <v>3271.6000000000004</v>
      </c>
      <c r="J33" s="417">
        <f ca="1">'I. Фін результат'!J184</f>
        <v>3271.6000000000004</v>
      </c>
    </row>
    <row r="34" spans="1:10">
      <c r="A34" s="416" t="s">
        <v>618</v>
      </c>
      <c r="B34" s="411" t="s">
        <v>630</v>
      </c>
      <c r="C34" s="409">
        <v>183.5</v>
      </c>
      <c r="D34" s="409">
        <v>152</v>
      </c>
      <c r="E34" s="409">
        <v>240</v>
      </c>
      <c r="F34" s="423">
        <f t="shared" si="1"/>
        <v>280</v>
      </c>
      <c r="G34" s="409">
        <v>70</v>
      </c>
      <c r="H34" s="409">
        <v>70</v>
      </c>
      <c r="I34" s="409">
        <v>70</v>
      </c>
      <c r="J34" s="409">
        <v>70</v>
      </c>
    </row>
    <row r="35" spans="1:10">
      <c r="A35" s="413" t="s">
        <v>619</v>
      </c>
      <c r="B35" s="411" t="s">
        <v>631</v>
      </c>
      <c r="C35" s="409">
        <v>249.5</v>
      </c>
      <c r="D35" s="409">
        <v>240</v>
      </c>
      <c r="E35" s="409">
        <v>260</v>
      </c>
      <c r="F35" s="423">
        <f t="shared" si="1"/>
        <v>300</v>
      </c>
      <c r="G35" s="409">
        <v>75</v>
      </c>
      <c r="H35" s="409">
        <v>75</v>
      </c>
      <c r="I35" s="409">
        <v>75</v>
      </c>
      <c r="J35" s="409">
        <v>75</v>
      </c>
    </row>
    <row r="36" spans="1:10">
      <c r="A36" s="413" t="s">
        <v>620</v>
      </c>
      <c r="B36" s="411" t="s">
        <v>632</v>
      </c>
      <c r="C36" s="409">
        <v>255.4</v>
      </c>
      <c r="D36" s="409">
        <v>440</v>
      </c>
      <c r="E36" s="409">
        <v>440</v>
      </c>
      <c r="F36" s="423">
        <f t="shared" si="1"/>
        <v>0</v>
      </c>
      <c r="G36" s="409">
        <f ca="1">'I. Фін результат'!G140</f>
        <v>0</v>
      </c>
      <c r="H36" s="409">
        <f ca="1">'I. Фін результат'!H140</f>
        <v>0</v>
      </c>
      <c r="I36" s="409">
        <f ca="1">'I. Фін результат'!I140</f>
        <v>0</v>
      </c>
      <c r="J36" s="409">
        <f ca="1">'I. Фін результат'!J140</f>
        <v>0</v>
      </c>
    </row>
    <row r="37" spans="1:10">
      <c r="A37" s="413" t="s">
        <v>621</v>
      </c>
      <c r="B37" s="411" t="s">
        <v>633</v>
      </c>
      <c r="C37" s="409">
        <v>64.900000000000006</v>
      </c>
      <c r="D37" s="409">
        <v>60</v>
      </c>
      <c r="E37" s="409">
        <v>80</v>
      </c>
      <c r="F37" s="423">
        <f t="shared" si="1"/>
        <v>80</v>
      </c>
      <c r="G37" s="409">
        <v>20</v>
      </c>
      <c r="H37" s="409">
        <v>20</v>
      </c>
      <c r="I37" s="409">
        <v>20</v>
      </c>
      <c r="J37" s="409">
        <v>20</v>
      </c>
    </row>
    <row r="38" spans="1:10">
      <c r="A38" s="413" t="s">
        <v>622</v>
      </c>
      <c r="B38" s="411" t="s">
        <v>634</v>
      </c>
      <c r="C38" s="409">
        <v>276.60000000000002</v>
      </c>
      <c r="D38" s="409">
        <v>1248</v>
      </c>
      <c r="E38" s="409">
        <v>1248</v>
      </c>
      <c r="F38" s="423">
        <f t="shared" si="1"/>
        <v>1248</v>
      </c>
      <c r="G38" s="409">
        <v>312</v>
      </c>
      <c r="H38" s="409">
        <v>312</v>
      </c>
      <c r="I38" s="409">
        <v>312</v>
      </c>
      <c r="J38" s="409">
        <v>312</v>
      </c>
    </row>
    <row r="39" spans="1:10" ht="36.75" customHeight="1">
      <c r="A39" s="368" t="s">
        <v>809</v>
      </c>
      <c r="B39" s="369" t="s">
        <v>528</v>
      </c>
      <c r="C39" s="410">
        <f>C6-C21</f>
        <v>-11231.5</v>
      </c>
      <c r="D39" s="410">
        <f>D6-D21</f>
        <v>-5975.960000000021</v>
      </c>
      <c r="E39" s="410">
        <f>E6-E21</f>
        <v>-5881.2313600000052</v>
      </c>
      <c r="F39" s="410">
        <f>SUM(G39:J39)</f>
        <v>-30149.540000000008</v>
      </c>
      <c r="G39" s="410">
        <f>G6-G21</f>
        <v>-10795.319999999992</v>
      </c>
      <c r="H39" s="410">
        <f>H6-H21</f>
        <v>-12648.900000000009</v>
      </c>
      <c r="I39" s="410">
        <f>I6-I21</f>
        <v>-7060.3600000000006</v>
      </c>
      <c r="J39" s="410">
        <f>J6-J21</f>
        <v>355.0399999999936</v>
      </c>
    </row>
    <row r="40" spans="1:10" ht="27" customHeight="1">
      <c r="A40" s="602" t="s">
        <v>529</v>
      </c>
      <c r="B40" s="602"/>
      <c r="C40" s="602"/>
      <c r="D40" s="602"/>
      <c r="E40" s="602"/>
      <c r="F40" s="602"/>
      <c r="G40" s="602"/>
      <c r="H40" s="602"/>
      <c r="I40" s="602"/>
      <c r="J40" s="602"/>
    </row>
    <row r="41" spans="1:10" ht="42.75" customHeight="1">
      <c r="A41" s="361" t="s">
        <v>530</v>
      </c>
      <c r="B41" s="362" t="s">
        <v>531</v>
      </c>
      <c r="C41" s="410">
        <f>SUM(C42:C48)</f>
        <v>5380.2</v>
      </c>
      <c r="D41" s="410">
        <f t="shared" ref="D41:J41" si="2">SUM(D42:D48)</f>
        <v>1667.2</v>
      </c>
      <c r="E41" s="410">
        <f t="shared" si="2"/>
        <v>987.2</v>
      </c>
      <c r="F41" s="410">
        <f t="shared" si="2"/>
        <v>0</v>
      </c>
      <c r="G41" s="410">
        <f t="shared" si="2"/>
        <v>0</v>
      </c>
      <c r="H41" s="410">
        <f t="shared" si="2"/>
        <v>0</v>
      </c>
      <c r="I41" s="410">
        <f t="shared" si="2"/>
        <v>0</v>
      </c>
      <c r="J41" s="410">
        <f t="shared" si="2"/>
        <v>0</v>
      </c>
    </row>
    <row r="42" spans="1:10" ht="17.25" customHeight="1">
      <c r="A42" s="370" t="s">
        <v>691</v>
      </c>
      <c r="B42" s="364" t="s">
        <v>532</v>
      </c>
      <c r="C42" s="409">
        <v>0</v>
      </c>
      <c r="D42" s="409"/>
      <c r="E42" s="409"/>
      <c r="F42" s="423">
        <f t="shared" ref="F42:F106" si="3">SUM(G42:J42)</f>
        <v>0</v>
      </c>
      <c r="G42" s="409"/>
      <c r="H42" s="409"/>
      <c r="I42" s="409"/>
      <c r="J42" s="409"/>
    </row>
    <row r="43" spans="1:10" ht="31.5">
      <c r="A43" s="502" t="s">
        <v>533</v>
      </c>
      <c r="B43" s="364" t="s">
        <v>534</v>
      </c>
      <c r="C43" s="409">
        <v>0</v>
      </c>
      <c r="D43" s="409"/>
      <c r="E43" s="409"/>
      <c r="F43" s="423">
        <f t="shared" si="3"/>
        <v>0</v>
      </c>
      <c r="G43" s="409"/>
      <c r="H43" s="409"/>
      <c r="I43" s="409"/>
      <c r="J43" s="409"/>
    </row>
    <row r="44" spans="1:10" ht="30" customHeight="1">
      <c r="A44" s="502" t="s">
        <v>535</v>
      </c>
      <c r="B44" s="364" t="s">
        <v>536</v>
      </c>
      <c r="C44" s="409">
        <v>0</v>
      </c>
      <c r="D44" s="409"/>
      <c r="E44" s="409"/>
      <c r="F44" s="423">
        <f t="shared" si="3"/>
        <v>0</v>
      </c>
      <c r="G44" s="409"/>
      <c r="H44" s="409"/>
      <c r="I44" s="409"/>
      <c r="J44" s="409"/>
    </row>
    <row r="45" spans="1:10">
      <c r="A45" s="370" t="s">
        <v>811</v>
      </c>
      <c r="B45" s="371"/>
      <c r="C45" s="409"/>
      <c r="D45" s="409"/>
      <c r="E45" s="409"/>
      <c r="F45" s="423">
        <f t="shared" si="3"/>
        <v>0</v>
      </c>
      <c r="G45" s="409"/>
      <c r="H45" s="409"/>
      <c r="I45" s="409"/>
      <c r="J45" s="409"/>
    </row>
    <row r="46" spans="1:10" s="501" customFormat="1" ht="13.5" customHeight="1">
      <c r="A46" s="497" t="s">
        <v>537</v>
      </c>
      <c r="B46" s="498" t="s">
        <v>538</v>
      </c>
      <c r="C46" s="499"/>
      <c r="D46" s="499"/>
      <c r="E46" s="499"/>
      <c r="F46" s="500">
        <f t="shared" si="3"/>
        <v>0</v>
      </c>
      <c r="G46" s="499"/>
      <c r="H46" s="499"/>
      <c r="I46" s="499"/>
      <c r="J46" s="499"/>
    </row>
    <row r="47" spans="1:10" s="501" customFormat="1" ht="12.75" customHeight="1">
      <c r="A47" s="497" t="s">
        <v>539</v>
      </c>
      <c r="B47" s="498" t="s">
        <v>540</v>
      </c>
      <c r="C47" s="499"/>
      <c r="D47" s="499"/>
      <c r="E47" s="499"/>
      <c r="F47" s="500">
        <f t="shared" si="3"/>
        <v>0</v>
      </c>
      <c r="G47" s="499"/>
      <c r="H47" s="499"/>
      <c r="I47" s="499"/>
      <c r="J47" s="499"/>
    </row>
    <row r="48" spans="1:10">
      <c r="A48" s="372" t="s">
        <v>593</v>
      </c>
      <c r="B48" s="373" t="s">
        <v>541</v>
      </c>
      <c r="C48" s="409">
        <f>SUM(C50:C51)</f>
        <v>5380.2</v>
      </c>
      <c r="D48" s="409">
        <f>SUM(D50:D51)</f>
        <v>1667.2</v>
      </c>
      <c r="E48" s="409">
        <f>SUM(E50:E51)</f>
        <v>987.2</v>
      </c>
      <c r="F48" s="423">
        <f t="shared" si="3"/>
        <v>0</v>
      </c>
      <c r="G48" s="409">
        <f>SUM(G50:G51)</f>
        <v>0</v>
      </c>
      <c r="H48" s="409">
        <f>SUM(H50:H51)</f>
        <v>0</v>
      </c>
      <c r="I48" s="409">
        <f>SUM(I50:I51)</f>
        <v>0</v>
      </c>
      <c r="J48" s="409">
        <f>SUM(J50:J51)</f>
        <v>0</v>
      </c>
    </row>
    <row r="49" spans="1:10" ht="12" customHeight="1">
      <c r="A49" s="374" t="s">
        <v>950</v>
      </c>
      <c r="B49" s="375"/>
      <c r="C49" s="376"/>
      <c r="D49" s="376"/>
      <c r="E49" s="376"/>
      <c r="F49" s="423"/>
      <c r="G49" s="376"/>
      <c r="H49" s="376"/>
      <c r="I49" s="376"/>
      <c r="J49" s="376"/>
    </row>
    <row r="50" spans="1:10" ht="30.75" customHeight="1">
      <c r="A50" s="374" t="s">
        <v>956</v>
      </c>
      <c r="B50" s="356" t="s">
        <v>542</v>
      </c>
      <c r="C50" s="377"/>
      <c r="D50" s="377"/>
      <c r="E50" s="377"/>
      <c r="F50" s="423">
        <f t="shared" si="3"/>
        <v>0</v>
      </c>
      <c r="G50" s="377"/>
      <c r="H50" s="377"/>
      <c r="I50" s="377"/>
      <c r="J50" s="377"/>
    </row>
    <row r="51" spans="1:10" ht="20.25" customHeight="1">
      <c r="A51" s="374" t="s">
        <v>949</v>
      </c>
      <c r="B51" s="356" t="s">
        <v>543</v>
      </c>
      <c r="C51" s="409">
        <f>C52</f>
        <v>5380.2</v>
      </c>
      <c r="D51" s="409">
        <f>D52+D53</f>
        <v>1667.2</v>
      </c>
      <c r="E51" s="409">
        <f>E52+E53</f>
        <v>987.2</v>
      </c>
      <c r="F51" s="423">
        <f t="shared" si="3"/>
        <v>0</v>
      </c>
      <c r="G51" s="409">
        <f>G52+G53</f>
        <v>0</v>
      </c>
      <c r="H51" s="409">
        <f>H52+H53</f>
        <v>0</v>
      </c>
      <c r="I51" s="409">
        <f>I52+I53</f>
        <v>0</v>
      </c>
      <c r="J51" s="409">
        <f>J52+J53</f>
        <v>0</v>
      </c>
    </row>
    <row r="52" spans="1:10" ht="30.75" customHeight="1">
      <c r="A52" s="503" t="s">
        <v>657</v>
      </c>
      <c r="B52" s="419" t="s">
        <v>658</v>
      </c>
      <c r="C52" s="409">
        <v>5380.2</v>
      </c>
      <c r="D52" s="409">
        <v>0</v>
      </c>
      <c r="E52" s="409"/>
      <c r="F52" s="423">
        <f t="shared" si="3"/>
        <v>0</v>
      </c>
      <c r="G52" s="409">
        <v>0</v>
      </c>
      <c r="H52" s="409">
        <v>0</v>
      </c>
      <c r="I52" s="409">
        <v>0</v>
      </c>
      <c r="J52" s="409">
        <v>0</v>
      </c>
    </row>
    <row r="53" spans="1:10" ht="19.5" customHeight="1">
      <c r="A53" s="428" t="s">
        <v>240</v>
      </c>
      <c r="B53" s="419" t="s">
        <v>242</v>
      </c>
      <c r="C53" s="409"/>
      <c r="D53" s="409">
        <f>D54+D55</f>
        <v>1667.2</v>
      </c>
      <c r="E53" s="409">
        <f>E54+E55</f>
        <v>987.2</v>
      </c>
      <c r="F53" s="423">
        <f t="shared" si="3"/>
        <v>0</v>
      </c>
      <c r="G53" s="409">
        <f>G54+G55</f>
        <v>0</v>
      </c>
      <c r="H53" s="409">
        <f>H54+H55</f>
        <v>0</v>
      </c>
      <c r="I53" s="409">
        <f>I54+I55</f>
        <v>0</v>
      </c>
      <c r="J53" s="409">
        <f>J54+J55</f>
        <v>0</v>
      </c>
    </row>
    <row r="54" spans="1:10" ht="26.25" customHeight="1">
      <c r="A54" s="457" t="s">
        <v>239</v>
      </c>
      <c r="B54" s="419" t="s">
        <v>243</v>
      </c>
      <c r="C54" s="409"/>
      <c r="D54" s="409">
        <v>987.2</v>
      </c>
      <c r="E54" s="409">
        <v>987.2</v>
      </c>
      <c r="F54" s="423">
        <f t="shared" si="3"/>
        <v>0</v>
      </c>
      <c r="G54" s="409"/>
      <c r="H54" s="480"/>
      <c r="I54" s="480"/>
      <c r="J54" s="409"/>
    </row>
    <row r="55" spans="1:10" ht="27" customHeight="1">
      <c r="A55" s="457" t="s">
        <v>241</v>
      </c>
      <c r="B55" s="419" t="s">
        <v>244</v>
      </c>
      <c r="C55" s="409"/>
      <c r="D55" s="409">
        <v>680</v>
      </c>
      <c r="E55" s="409"/>
      <c r="F55" s="423">
        <f t="shared" si="3"/>
        <v>0</v>
      </c>
      <c r="G55" s="409"/>
      <c r="H55" s="480"/>
      <c r="I55" s="480"/>
      <c r="J55" s="409"/>
    </row>
    <row r="56" spans="1:10" ht="36" customHeight="1">
      <c r="A56" s="361" t="s">
        <v>544</v>
      </c>
      <c r="B56" s="362" t="s">
        <v>545</v>
      </c>
      <c r="C56" s="410">
        <f>C57+C95+C98+C90</f>
        <v>10351.299999999999</v>
      </c>
      <c r="D56" s="410">
        <f>D57+D95+D98+D90</f>
        <v>4779.2</v>
      </c>
      <c r="E56" s="410">
        <f>E57+E95+E98+E90</f>
        <v>4238</v>
      </c>
      <c r="F56" s="410">
        <f>G56+H56+I56+J56</f>
        <v>3760</v>
      </c>
      <c r="G56" s="410">
        <f>G57+G95+G98+G90</f>
        <v>401</v>
      </c>
      <c r="H56" s="410">
        <f>H57+H95+H98+H90</f>
        <v>1132</v>
      </c>
      <c r="I56" s="410">
        <f>I57+I95+I98+I90</f>
        <v>1896</v>
      </c>
      <c r="J56" s="410">
        <f>J57+J95+J98+J90</f>
        <v>331</v>
      </c>
    </row>
    <row r="57" spans="1:10" ht="51" customHeight="1">
      <c r="A57" s="496" t="s">
        <v>335</v>
      </c>
      <c r="B57" s="364" t="s">
        <v>546</v>
      </c>
      <c r="C57" s="418">
        <f>SUM(C58:C89)</f>
        <v>8038.3</v>
      </c>
      <c r="D57" s="418">
        <f>SUM(D58:D89)</f>
        <v>492</v>
      </c>
      <c r="E57" s="418">
        <f>SUM(E58:E89)</f>
        <v>602.09999999999991</v>
      </c>
      <c r="F57" s="423">
        <f t="shared" si="3"/>
        <v>240</v>
      </c>
      <c r="G57" s="418">
        <f>SUM(G58:G69)</f>
        <v>36</v>
      </c>
      <c r="H57" s="418">
        <f>SUM(H58:H69)</f>
        <v>132</v>
      </c>
      <c r="I57" s="418">
        <f>SUM(I58:I69)</f>
        <v>36</v>
      </c>
      <c r="J57" s="418">
        <f>SUM(J58:J69)</f>
        <v>36</v>
      </c>
    </row>
    <row r="58" spans="1:10" ht="12.75" customHeight="1">
      <c r="A58" s="437" t="s">
        <v>1104</v>
      </c>
      <c r="B58" s="436" t="s">
        <v>211</v>
      </c>
      <c r="C58" s="218">
        <f>63.5*1.2</f>
        <v>76.2</v>
      </c>
      <c r="D58" s="471">
        <v>144</v>
      </c>
      <c r="E58" s="218">
        <f ca="1">'IV. Кап. інвестиції'!E12*1.2</f>
        <v>144</v>
      </c>
      <c r="F58" s="423">
        <f t="shared" si="3"/>
        <v>96</v>
      </c>
      <c r="G58" s="218">
        <f ca="1">'IV. Кап. інвестиції'!G12*1.2</f>
        <v>24</v>
      </c>
      <c r="H58" s="218">
        <f ca="1">'IV. Кап. інвестиції'!H12*1.2</f>
        <v>24</v>
      </c>
      <c r="I58" s="218">
        <f ca="1">'IV. Кап. інвестиції'!I12*1.2</f>
        <v>24</v>
      </c>
      <c r="J58" s="218">
        <f ca="1">'IV. Кап. інвестиції'!J12*1.2</f>
        <v>24</v>
      </c>
    </row>
    <row r="59" spans="1:10" ht="12.75" customHeight="1">
      <c r="A59" s="437" t="s">
        <v>1106</v>
      </c>
      <c r="B59" s="436" t="s">
        <v>212</v>
      </c>
      <c r="C59" s="418"/>
      <c r="D59" s="471">
        <v>96</v>
      </c>
      <c r="E59" s="218">
        <f ca="1">'IV. Кап. інвестиції'!E13*1.2</f>
        <v>96</v>
      </c>
      <c r="F59" s="423">
        <f t="shared" si="3"/>
        <v>48</v>
      </c>
      <c r="G59" s="218">
        <f ca="1">'IV. Кап. інвестиції'!G13*1.2</f>
        <v>12</v>
      </c>
      <c r="H59" s="218">
        <f ca="1">'IV. Кап. інвестиції'!H13*1.2</f>
        <v>12</v>
      </c>
      <c r="I59" s="218">
        <f ca="1">'IV. Кап. інвестиції'!I13*1.2</f>
        <v>12</v>
      </c>
      <c r="J59" s="218">
        <f ca="1">'IV. Кап. інвестиції'!J13*1.2</f>
        <v>12</v>
      </c>
    </row>
    <row r="60" spans="1:10" ht="12.75" customHeight="1">
      <c r="A60" s="437" t="s">
        <v>245</v>
      </c>
      <c r="B60" s="436" t="s">
        <v>213</v>
      </c>
      <c r="C60" s="418"/>
      <c r="D60" s="471">
        <v>0</v>
      </c>
      <c r="E60" s="218">
        <f ca="1">'IV. Кап. інвестиції'!E14*1.2</f>
        <v>0</v>
      </c>
      <c r="F60" s="423">
        <f t="shared" si="3"/>
        <v>0</v>
      </c>
      <c r="G60" s="218">
        <f ca="1">'IV. Кап. інвестиції'!G14*1.2</f>
        <v>0</v>
      </c>
      <c r="H60" s="218">
        <f ca="1">'IV. Кап. інвестиції'!H14*1.2</f>
        <v>0</v>
      </c>
      <c r="I60" s="218">
        <f ca="1">'IV. Кап. інвестиції'!I14*1.2</f>
        <v>0</v>
      </c>
      <c r="J60" s="218">
        <f ca="1">'IV. Кап. інвестиції'!J14*1.2</f>
        <v>0</v>
      </c>
    </row>
    <row r="61" spans="1:10" ht="12.75" customHeight="1">
      <c r="A61" s="437" t="s">
        <v>1110</v>
      </c>
      <c r="B61" s="436" t="s">
        <v>214</v>
      </c>
      <c r="C61" s="418"/>
      <c r="D61" s="471">
        <v>0</v>
      </c>
      <c r="E61" s="218">
        <f ca="1">'IV. Кап. інвестиції'!E15*1.2</f>
        <v>0</v>
      </c>
      <c r="F61" s="423">
        <f t="shared" si="3"/>
        <v>0</v>
      </c>
      <c r="G61" s="218">
        <f ca="1">'IV. Кап. інвестиції'!G15*1.2</f>
        <v>0</v>
      </c>
      <c r="H61" s="218">
        <f ca="1">'IV. Кап. інвестиції'!H15*1.2</f>
        <v>0</v>
      </c>
      <c r="I61" s="218">
        <f ca="1">'IV. Кап. інвестиції'!I15*1.2</f>
        <v>0</v>
      </c>
      <c r="J61" s="218">
        <f ca="1">'IV. Кап. інвестиції'!J15*1.2</f>
        <v>0</v>
      </c>
    </row>
    <row r="62" spans="1:10" ht="12.75" customHeight="1">
      <c r="A62" s="437" t="s">
        <v>1112</v>
      </c>
      <c r="B62" s="436" t="s">
        <v>215</v>
      </c>
      <c r="C62" s="418"/>
      <c r="D62" s="471">
        <v>72</v>
      </c>
      <c r="E62" s="218">
        <f ca="1">'IV. Кап. інвестиції'!E16*1.2</f>
        <v>72</v>
      </c>
      <c r="F62" s="423">
        <f t="shared" si="3"/>
        <v>96</v>
      </c>
      <c r="G62" s="218">
        <f ca="1">'IV. Кап. інвестиції'!G16*1.2</f>
        <v>0</v>
      </c>
      <c r="H62" s="218">
        <f ca="1">'IV. Кап. інвестиції'!H16*1.2</f>
        <v>96</v>
      </c>
      <c r="I62" s="218">
        <f ca="1">'IV. Кап. інвестиції'!I16*1.2</f>
        <v>0</v>
      </c>
      <c r="J62" s="218">
        <f ca="1">'IV. Кап. інвестиції'!J16*1.2</f>
        <v>0</v>
      </c>
    </row>
    <row r="63" spans="1:10" ht="12.75" customHeight="1">
      <c r="A63" s="437" t="s">
        <v>1114</v>
      </c>
      <c r="B63" s="436" t="s">
        <v>216</v>
      </c>
      <c r="C63" s="418">
        <v>928.8</v>
      </c>
      <c r="D63" s="471">
        <v>0</v>
      </c>
      <c r="E63" s="218">
        <f ca="1">'IV. Кап. інвестиції'!E17*1.2</f>
        <v>0</v>
      </c>
      <c r="F63" s="423">
        <f t="shared" si="3"/>
        <v>0</v>
      </c>
      <c r="G63" s="218">
        <f ca="1">'IV. Кап. інвестиції'!G17*1.2</f>
        <v>0</v>
      </c>
      <c r="H63" s="218">
        <f ca="1">'IV. Кап. інвестиції'!H17*1.2</f>
        <v>0</v>
      </c>
      <c r="I63" s="218">
        <f ca="1">'IV. Кап. інвестиції'!I17*1.2</f>
        <v>0</v>
      </c>
      <c r="J63" s="218">
        <f ca="1">'IV. Кап. інвестиції'!J17*1.2</f>
        <v>0</v>
      </c>
    </row>
    <row r="64" spans="1:10" ht="12.75" customHeight="1">
      <c r="A64" s="437" t="s">
        <v>1116</v>
      </c>
      <c r="B64" s="436" t="s">
        <v>217</v>
      </c>
      <c r="C64" s="218">
        <v>790</v>
      </c>
      <c r="D64" s="471">
        <v>180</v>
      </c>
      <c r="E64" s="218">
        <v>180</v>
      </c>
      <c r="F64" s="423">
        <f t="shared" si="3"/>
        <v>0</v>
      </c>
      <c r="G64" s="218">
        <f ca="1">'IV. Кап. інвестиції'!G18*1.2</f>
        <v>0</v>
      </c>
      <c r="H64" s="218">
        <f ca="1">'IV. Кап. інвестиції'!H18*1.2</f>
        <v>0</v>
      </c>
      <c r="I64" s="218">
        <f ca="1">'IV. Кап. інвестиції'!I18*1.2</f>
        <v>0</v>
      </c>
      <c r="J64" s="218">
        <f ca="1">'IV. Кап. інвестиції'!J18*1.2</f>
        <v>0</v>
      </c>
    </row>
    <row r="65" spans="1:10" ht="12.75" customHeight="1">
      <c r="A65" s="437" t="s">
        <v>1118</v>
      </c>
      <c r="B65" s="436" t="s">
        <v>218</v>
      </c>
      <c r="C65" s="218">
        <v>3459.9</v>
      </c>
      <c r="D65" s="471">
        <v>0</v>
      </c>
      <c r="E65" s="218">
        <f ca="1">'IV. Кап. інвестиції'!E25*1.2</f>
        <v>29.16</v>
      </c>
      <c r="F65" s="423">
        <f t="shared" si="3"/>
        <v>0</v>
      </c>
      <c r="G65" s="218">
        <f ca="1">'IV. Кап. інвестиції'!G19*1.2</f>
        <v>0</v>
      </c>
      <c r="H65" s="218">
        <f ca="1">'IV. Кап. інвестиції'!H19*1.2</f>
        <v>0</v>
      </c>
      <c r="I65" s="218">
        <f ca="1">'IV. Кап. інвестиції'!I19*1.2</f>
        <v>0</v>
      </c>
      <c r="J65" s="218">
        <f ca="1">'IV. Кап. інвестиції'!J19*1.2</f>
        <v>0</v>
      </c>
    </row>
    <row r="66" spans="1:10" ht="12.75" customHeight="1">
      <c r="A66" s="437" t="s">
        <v>1120</v>
      </c>
      <c r="B66" s="436" t="s">
        <v>219</v>
      </c>
      <c r="C66" s="418"/>
      <c r="D66" s="471">
        <v>0</v>
      </c>
      <c r="E66" s="218">
        <f ca="1">'IV. Кап. інвестиції'!E20*1.2</f>
        <v>0</v>
      </c>
      <c r="F66" s="423">
        <f t="shared" si="3"/>
        <v>0</v>
      </c>
      <c r="G66" s="218">
        <f ca="1">'IV. Кап. інвестиції'!G20*1.2</f>
        <v>0</v>
      </c>
      <c r="H66" s="218">
        <f ca="1">'IV. Кап. інвестиції'!H20*1.2</f>
        <v>0</v>
      </c>
      <c r="I66" s="218">
        <f ca="1">'IV. Кап. інвестиції'!I20*1.2</f>
        <v>0</v>
      </c>
      <c r="J66" s="218">
        <f ca="1">'IV. Кап. інвестиції'!J20*1.2</f>
        <v>0</v>
      </c>
    </row>
    <row r="67" spans="1:10" ht="25.5">
      <c r="A67" s="437" t="s">
        <v>1122</v>
      </c>
      <c r="B67" s="465" t="s">
        <v>220</v>
      </c>
      <c r="C67" s="468">
        <v>510</v>
      </c>
      <c r="D67" s="471">
        <v>0</v>
      </c>
      <c r="E67" s="218">
        <f ca="1">'IV. Кап. інвестиції'!E21*1.2</f>
        <v>0</v>
      </c>
      <c r="F67" s="423">
        <f t="shared" si="3"/>
        <v>0</v>
      </c>
      <c r="G67" s="218">
        <f ca="1">'IV. Кап. інвестиції'!G21*1.2</f>
        <v>0</v>
      </c>
      <c r="H67" s="218">
        <f ca="1">'IV. Кап. інвестиції'!H21*1.2</f>
        <v>0</v>
      </c>
      <c r="I67" s="218">
        <f ca="1">'IV. Кап. інвестиції'!I21*1.2</f>
        <v>0</v>
      </c>
      <c r="J67" s="218">
        <f ca="1">'IV. Кап. інвестиції'!J21*1.2</f>
        <v>0</v>
      </c>
    </row>
    <row r="68" spans="1:10" ht="12" customHeight="1">
      <c r="A68" s="437" t="s">
        <v>1124</v>
      </c>
      <c r="B68" s="467" t="s">
        <v>221</v>
      </c>
      <c r="C68" s="470"/>
      <c r="D68" s="472">
        <v>0</v>
      </c>
      <c r="E68" s="218">
        <f ca="1">'IV. Кап. інвестиції'!E22*1.2</f>
        <v>0</v>
      </c>
      <c r="F68" s="423">
        <f t="shared" si="3"/>
        <v>0</v>
      </c>
      <c r="G68" s="218">
        <f ca="1">'IV. Кап. інвестиції'!G22*1.2</f>
        <v>0</v>
      </c>
      <c r="H68" s="218">
        <f ca="1">'IV. Кап. інвестиції'!H22*1.2</f>
        <v>0</v>
      </c>
      <c r="I68" s="218">
        <f ca="1">'IV. Кап. інвестиції'!I22*1.2</f>
        <v>0</v>
      </c>
      <c r="J68" s="218">
        <f ca="1">'IV. Кап. інвестиції'!J22*1.2</f>
        <v>0</v>
      </c>
    </row>
    <row r="69" spans="1:10" ht="12" customHeight="1">
      <c r="A69" s="437" t="s">
        <v>1126</v>
      </c>
      <c r="B69" s="466" t="s">
        <v>222</v>
      </c>
      <c r="C69" s="469">
        <f>1530+174</f>
        <v>1704</v>
      </c>
      <c r="D69" s="471">
        <v>0</v>
      </c>
      <c r="E69" s="218">
        <f ca="1">'IV. Кап. інвестиції'!E23*1.2</f>
        <v>0</v>
      </c>
      <c r="F69" s="423">
        <f t="shared" si="3"/>
        <v>0</v>
      </c>
      <c r="G69" s="218">
        <f ca="1">'IV. Кап. інвестиції'!G23*1.2</f>
        <v>0</v>
      </c>
      <c r="H69" s="218">
        <f ca="1">'IV. Кап. інвестиції'!H23*1.2</f>
        <v>0</v>
      </c>
      <c r="I69" s="218">
        <f ca="1">'IV. Кап. інвестиції'!I23*1.2</f>
        <v>0</v>
      </c>
      <c r="J69" s="218">
        <f ca="1">'IV. Кап. інвестиції'!J23*1.2</f>
        <v>0</v>
      </c>
    </row>
    <row r="70" spans="1:10" ht="12" customHeight="1">
      <c r="A70" s="437" t="s">
        <v>258</v>
      </c>
      <c r="B70" s="436" t="s">
        <v>259</v>
      </c>
      <c r="C70" s="218">
        <f>89.2*1.2</f>
        <v>107.04</v>
      </c>
      <c r="D70" s="218"/>
      <c r="E70" s="218"/>
      <c r="F70" s="423">
        <f t="shared" si="3"/>
        <v>0</v>
      </c>
      <c r="G70" s="218"/>
      <c r="H70" s="218"/>
      <c r="I70" s="218"/>
      <c r="J70" s="218"/>
    </row>
    <row r="71" spans="1:10" ht="12" customHeight="1">
      <c r="A71" s="437" t="s">
        <v>260</v>
      </c>
      <c r="B71" s="436" t="s">
        <v>261</v>
      </c>
      <c r="C71" s="218">
        <f>77.6*1.2</f>
        <v>93.11999999999999</v>
      </c>
      <c r="D71" s="218"/>
      <c r="E71" s="218"/>
      <c r="F71" s="423">
        <f t="shared" si="3"/>
        <v>0</v>
      </c>
      <c r="G71" s="218"/>
      <c r="H71" s="218"/>
      <c r="I71" s="218"/>
      <c r="J71" s="218"/>
    </row>
    <row r="72" spans="1:10" ht="12" customHeight="1">
      <c r="A72" s="437" t="s">
        <v>262</v>
      </c>
      <c r="B72" s="436" t="s">
        <v>263</v>
      </c>
      <c r="C72" s="218">
        <f>72.7*1.2</f>
        <v>87.24</v>
      </c>
      <c r="D72" s="218"/>
      <c r="E72" s="218">
        <v>72.900000000000006</v>
      </c>
      <c r="F72" s="423">
        <f t="shared" si="3"/>
        <v>0</v>
      </c>
      <c r="G72" s="218"/>
      <c r="H72" s="218"/>
      <c r="I72" s="218"/>
      <c r="J72" s="218"/>
    </row>
    <row r="73" spans="1:10" ht="12" customHeight="1">
      <c r="A73" s="437" t="s">
        <v>264</v>
      </c>
      <c r="B73" s="436" t="s">
        <v>265</v>
      </c>
      <c r="C73" s="218">
        <f>4.6*1.2</f>
        <v>5.52</v>
      </c>
      <c r="D73" s="218"/>
      <c r="E73" s="218">
        <f ca="1">'IV. Кап. інвестиції'!E26*1.2</f>
        <v>8.0399999999999991</v>
      </c>
      <c r="F73" s="423">
        <f t="shared" si="3"/>
        <v>0</v>
      </c>
      <c r="G73" s="218"/>
      <c r="H73" s="218"/>
      <c r="I73" s="218"/>
      <c r="J73" s="218"/>
    </row>
    <row r="74" spans="1:10" ht="12" customHeight="1">
      <c r="A74" s="437" t="s">
        <v>266</v>
      </c>
      <c r="B74" s="436" t="s">
        <v>267</v>
      </c>
      <c r="C74" s="218">
        <f>3.2*1.2</f>
        <v>3.84</v>
      </c>
      <c r="D74" s="218"/>
      <c r="E74" s="218"/>
      <c r="F74" s="423">
        <f t="shared" si="3"/>
        <v>0</v>
      </c>
      <c r="G74" s="218"/>
      <c r="H74" s="218"/>
      <c r="I74" s="218"/>
      <c r="J74" s="218"/>
    </row>
    <row r="75" spans="1:10" ht="12" customHeight="1">
      <c r="A75" s="437" t="s">
        <v>268</v>
      </c>
      <c r="B75" s="436" t="s">
        <v>269</v>
      </c>
      <c r="C75" s="218">
        <f>45.5*1.2</f>
        <v>54.6</v>
      </c>
      <c r="D75" s="218"/>
      <c r="E75" s="218"/>
      <c r="F75" s="423">
        <f t="shared" si="3"/>
        <v>0</v>
      </c>
      <c r="G75" s="218"/>
      <c r="H75" s="218"/>
      <c r="I75" s="218"/>
      <c r="J75" s="218"/>
    </row>
    <row r="76" spans="1:10" ht="12" customHeight="1">
      <c r="A76" s="437" t="s">
        <v>270</v>
      </c>
      <c r="B76" s="436" t="s">
        <v>271</v>
      </c>
      <c r="C76" s="218">
        <f>9.6*1.2</f>
        <v>11.52</v>
      </c>
      <c r="D76" s="218"/>
      <c r="E76" s="218"/>
      <c r="F76" s="423">
        <f t="shared" si="3"/>
        <v>0</v>
      </c>
      <c r="G76" s="218"/>
      <c r="H76" s="218"/>
      <c r="I76" s="218"/>
      <c r="J76" s="218"/>
    </row>
    <row r="77" spans="1:10" ht="12" customHeight="1">
      <c r="A77" s="437" t="s">
        <v>272</v>
      </c>
      <c r="B77" s="436" t="s">
        <v>273</v>
      </c>
      <c r="C77" s="218">
        <f>12*1.2</f>
        <v>14.399999999999999</v>
      </c>
      <c r="D77" s="218"/>
      <c r="E77" s="218"/>
      <c r="F77" s="423">
        <f t="shared" si="3"/>
        <v>0</v>
      </c>
      <c r="G77" s="218"/>
      <c r="H77" s="218"/>
      <c r="I77" s="218"/>
      <c r="J77" s="218"/>
    </row>
    <row r="78" spans="1:10" ht="12" customHeight="1">
      <c r="A78" s="437" t="s">
        <v>274</v>
      </c>
      <c r="B78" s="436" t="s">
        <v>275</v>
      </c>
      <c r="C78" s="218">
        <f>9*1.2</f>
        <v>10.799999999999999</v>
      </c>
      <c r="D78" s="218"/>
      <c r="E78" s="218"/>
      <c r="F78" s="423">
        <f t="shared" si="3"/>
        <v>0</v>
      </c>
      <c r="G78" s="218"/>
      <c r="H78" s="218"/>
      <c r="I78" s="218"/>
      <c r="J78" s="218"/>
    </row>
    <row r="79" spans="1:10" ht="12" customHeight="1">
      <c r="A79" s="437" t="s">
        <v>276</v>
      </c>
      <c r="B79" s="436" t="s">
        <v>277</v>
      </c>
      <c r="C79" s="218">
        <f>6.2*1.2</f>
        <v>7.4399999999999995</v>
      </c>
      <c r="D79" s="218"/>
      <c r="E79" s="218"/>
      <c r="F79" s="423">
        <f t="shared" si="3"/>
        <v>0</v>
      </c>
      <c r="G79" s="218"/>
      <c r="H79" s="218"/>
      <c r="I79" s="218"/>
      <c r="J79" s="218"/>
    </row>
    <row r="80" spans="1:10" ht="12" customHeight="1">
      <c r="A80" s="437" t="s">
        <v>278</v>
      </c>
      <c r="B80" s="436" t="s">
        <v>279</v>
      </c>
      <c r="C80" s="218">
        <f>17.2*1.2</f>
        <v>20.639999999999997</v>
      </c>
      <c r="D80" s="218"/>
      <c r="E80" s="218"/>
      <c r="F80" s="423">
        <f t="shared" si="3"/>
        <v>0</v>
      </c>
      <c r="G80" s="218"/>
      <c r="H80" s="218"/>
      <c r="I80" s="218"/>
      <c r="J80" s="218"/>
    </row>
    <row r="81" spans="1:10" ht="12" customHeight="1">
      <c r="A81" s="437" t="s">
        <v>280</v>
      </c>
      <c r="B81" s="436" t="s">
        <v>281</v>
      </c>
      <c r="C81" s="218">
        <f>27.1*1.2</f>
        <v>32.520000000000003</v>
      </c>
      <c r="D81" s="218"/>
      <c r="E81" s="218"/>
      <c r="F81" s="423">
        <f t="shared" si="3"/>
        <v>0</v>
      </c>
      <c r="G81" s="218"/>
      <c r="H81" s="218"/>
      <c r="I81" s="218"/>
      <c r="J81" s="218"/>
    </row>
    <row r="82" spans="1:10" ht="12" customHeight="1">
      <c r="A82" s="437" t="s">
        <v>282</v>
      </c>
      <c r="B82" s="436" t="s">
        <v>283</v>
      </c>
      <c r="C82" s="218">
        <f>2.7*1.2</f>
        <v>3.24</v>
      </c>
      <c r="D82" s="218"/>
      <c r="E82" s="218"/>
      <c r="F82" s="423">
        <f t="shared" si="3"/>
        <v>0</v>
      </c>
      <c r="G82" s="218"/>
      <c r="H82" s="218"/>
      <c r="I82" s="218"/>
      <c r="J82" s="218"/>
    </row>
    <row r="83" spans="1:10" ht="12" customHeight="1">
      <c r="A83" s="437" t="s">
        <v>284</v>
      </c>
      <c r="B83" s="436" t="s">
        <v>285</v>
      </c>
      <c r="C83" s="218">
        <f>4.4*1.2</f>
        <v>5.28</v>
      </c>
      <c r="D83" s="218"/>
      <c r="E83" s="218"/>
      <c r="F83" s="423">
        <f t="shared" si="3"/>
        <v>0</v>
      </c>
      <c r="G83" s="218"/>
      <c r="H83" s="218"/>
      <c r="I83" s="218"/>
      <c r="J83" s="218"/>
    </row>
    <row r="84" spans="1:10" ht="12" customHeight="1">
      <c r="A84" s="437" t="s">
        <v>286</v>
      </c>
      <c r="B84" s="436" t="s">
        <v>287</v>
      </c>
      <c r="C84" s="218">
        <f>3.2*1.2</f>
        <v>3.84</v>
      </c>
      <c r="D84" s="218"/>
      <c r="E84" s="218"/>
      <c r="F84" s="423">
        <f t="shared" si="3"/>
        <v>0</v>
      </c>
      <c r="G84" s="218"/>
      <c r="H84" s="218"/>
      <c r="I84" s="218"/>
      <c r="J84" s="218"/>
    </row>
    <row r="85" spans="1:10" ht="12" customHeight="1">
      <c r="A85" s="437" t="s">
        <v>288</v>
      </c>
      <c r="B85" s="436" t="s">
        <v>289</v>
      </c>
      <c r="C85" s="218">
        <f>10.3*1.2</f>
        <v>12.360000000000001</v>
      </c>
      <c r="D85" s="218"/>
      <c r="E85" s="218"/>
      <c r="F85" s="423">
        <f t="shared" si="3"/>
        <v>0</v>
      </c>
      <c r="G85" s="218"/>
      <c r="H85" s="218"/>
      <c r="I85" s="218"/>
      <c r="J85" s="218"/>
    </row>
    <row r="86" spans="1:10" ht="12" customHeight="1">
      <c r="A86" s="437" t="s">
        <v>290</v>
      </c>
      <c r="B86" s="436" t="s">
        <v>291</v>
      </c>
      <c r="C86" s="218">
        <f>63.9*1.2</f>
        <v>76.679999999999993</v>
      </c>
      <c r="D86" s="218"/>
      <c r="E86" s="218"/>
      <c r="F86" s="423">
        <f t="shared" si="3"/>
        <v>0</v>
      </c>
      <c r="G86" s="218"/>
      <c r="H86" s="218"/>
      <c r="I86" s="218"/>
      <c r="J86" s="218"/>
    </row>
    <row r="87" spans="1:10" ht="12" customHeight="1">
      <c r="A87" s="437" t="s">
        <v>292</v>
      </c>
      <c r="B87" s="436" t="s">
        <v>293</v>
      </c>
      <c r="C87" s="218">
        <f>6.8*1.2</f>
        <v>8.16</v>
      </c>
      <c r="D87" s="218"/>
      <c r="E87" s="218"/>
      <c r="F87" s="423">
        <f t="shared" si="3"/>
        <v>0</v>
      </c>
      <c r="G87" s="218"/>
      <c r="H87" s="218"/>
      <c r="I87" s="218"/>
      <c r="J87" s="218"/>
    </row>
    <row r="88" spans="1:10" ht="12" customHeight="1">
      <c r="A88" s="437" t="s">
        <v>294</v>
      </c>
      <c r="B88" s="436" t="s">
        <v>295</v>
      </c>
      <c r="C88" s="218">
        <f>5*1.2</f>
        <v>6</v>
      </c>
      <c r="D88" s="218"/>
      <c r="E88" s="218"/>
      <c r="F88" s="423">
        <f t="shared" si="3"/>
        <v>0</v>
      </c>
      <c r="G88" s="218"/>
      <c r="H88" s="218"/>
      <c r="I88" s="218"/>
      <c r="J88" s="218"/>
    </row>
    <row r="89" spans="1:10" ht="12" customHeight="1">
      <c r="A89" s="437" t="s">
        <v>296</v>
      </c>
      <c r="B89" s="436" t="s">
        <v>297</v>
      </c>
      <c r="C89" s="218">
        <f>4.3*1.2</f>
        <v>5.1599999999999993</v>
      </c>
      <c r="D89" s="218"/>
      <c r="E89" s="218"/>
      <c r="F89" s="423">
        <f t="shared" si="3"/>
        <v>0</v>
      </c>
      <c r="G89" s="218"/>
      <c r="H89" s="218"/>
      <c r="I89" s="218"/>
      <c r="J89" s="218"/>
    </row>
    <row r="90" spans="1:10" ht="51" customHeight="1">
      <c r="A90" s="103" t="s">
        <v>336</v>
      </c>
      <c r="B90" s="364" t="s">
        <v>547</v>
      </c>
      <c r="C90" s="418">
        <f>SUM(C91:C94)</f>
        <v>646.1</v>
      </c>
      <c r="D90" s="418">
        <f>D91+D92+D93+D94</f>
        <v>1667.2</v>
      </c>
      <c r="E90" s="418">
        <f>E91+E92+E93+E94</f>
        <v>987.2</v>
      </c>
      <c r="F90" s="423">
        <f t="shared" si="3"/>
        <v>0</v>
      </c>
      <c r="G90" s="418">
        <f>G91+G92+G93+G94</f>
        <v>0</v>
      </c>
      <c r="H90" s="418">
        <f>H91+H92+H93+H94</f>
        <v>0</v>
      </c>
      <c r="I90" s="418">
        <f>I91+I92+I93+I94</f>
        <v>0</v>
      </c>
      <c r="J90" s="418">
        <f>J91+J92+J93+J94</f>
        <v>0</v>
      </c>
    </row>
    <row r="91" spans="1:10">
      <c r="A91" s="103" t="s">
        <v>1139</v>
      </c>
      <c r="B91" s="436" t="s">
        <v>246</v>
      </c>
      <c r="C91" s="418"/>
      <c r="D91" s="220"/>
      <c r="E91" s="418"/>
      <c r="F91" s="423">
        <f t="shared" si="3"/>
        <v>0</v>
      </c>
      <c r="G91" s="418"/>
      <c r="H91" s="418"/>
      <c r="I91" s="418"/>
      <c r="J91" s="418"/>
    </row>
    <row r="92" spans="1:10" ht="31.5">
      <c r="A92" s="103" t="s">
        <v>1141</v>
      </c>
      <c r="B92" s="436" t="s">
        <v>247</v>
      </c>
      <c r="C92" s="418">
        <v>156.4</v>
      </c>
      <c r="D92" s="220"/>
      <c r="E92" s="418"/>
      <c r="F92" s="423">
        <f t="shared" si="3"/>
        <v>0</v>
      </c>
      <c r="G92" s="418"/>
      <c r="H92" s="418"/>
      <c r="I92" s="418"/>
      <c r="J92" s="418"/>
    </row>
    <row r="93" spans="1:10" ht="30">
      <c r="A93" s="457" t="s">
        <v>239</v>
      </c>
      <c r="B93" s="436" t="s">
        <v>248</v>
      </c>
      <c r="C93" s="418">
        <v>489.7</v>
      </c>
      <c r="D93" s="471">
        <v>987.2</v>
      </c>
      <c r="E93" s="418">
        <v>987.2</v>
      </c>
      <c r="F93" s="423">
        <f t="shared" si="3"/>
        <v>0</v>
      </c>
      <c r="G93" s="418"/>
      <c r="H93" s="418"/>
      <c r="I93" s="418"/>
      <c r="J93" s="418"/>
    </row>
    <row r="94" spans="1:10" ht="30">
      <c r="A94" s="457" t="s">
        <v>241</v>
      </c>
      <c r="B94" s="436" t="s">
        <v>249</v>
      </c>
      <c r="C94" s="418"/>
      <c r="D94" s="471">
        <v>680</v>
      </c>
      <c r="E94" s="418"/>
      <c r="F94" s="423">
        <f t="shared" si="3"/>
        <v>0</v>
      </c>
      <c r="G94" s="418"/>
      <c r="H94" s="418"/>
      <c r="I94" s="418"/>
      <c r="J94" s="418"/>
    </row>
    <row r="95" spans="1:10" ht="32.25" customHeight="1">
      <c r="A95" s="344" t="s">
        <v>200</v>
      </c>
      <c r="B95" s="364" t="s">
        <v>548</v>
      </c>
      <c r="C95" s="418">
        <f>C96</f>
        <v>219</v>
      </c>
      <c r="D95" s="418">
        <f>D96</f>
        <v>50</v>
      </c>
      <c r="E95" s="418">
        <f ca="1">'IV. Кап. інвестиції'!E31</f>
        <v>50</v>
      </c>
      <c r="F95" s="423">
        <f t="shared" si="3"/>
        <v>50</v>
      </c>
      <c r="G95" s="418">
        <f ca="1">'IV. Кап. інвестиції'!G31</f>
        <v>5</v>
      </c>
      <c r="H95" s="418">
        <f ca="1">'IV. Кап. інвестиції'!H31</f>
        <v>10</v>
      </c>
      <c r="I95" s="418">
        <f ca="1">'IV. Кап. інвестиції'!I31</f>
        <v>20</v>
      </c>
      <c r="J95" s="418">
        <f ca="1">'IV. Кап. інвестиції'!J31</f>
        <v>15</v>
      </c>
    </row>
    <row r="96" spans="1:10" ht="18.75">
      <c r="A96" s="103" t="s">
        <v>1128</v>
      </c>
      <c r="B96" s="460" t="s">
        <v>298</v>
      </c>
      <c r="C96" s="418">
        <v>219</v>
      </c>
      <c r="D96" s="220">
        <v>50</v>
      </c>
      <c r="E96" s="435">
        <f>E95</f>
        <v>50</v>
      </c>
      <c r="F96" s="423">
        <f t="shared" si="3"/>
        <v>50</v>
      </c>
      <c r="G96" s="418">
        <f>G95</f>
        <v>5</v>
      </c>
      <c r="H96" s="418">
        <f>H95</f>
        <v>10</v>
      </c>
      <c r="I96" s="418">
        <f>I95</f>
        <v>20</v>
      </c>
      <c r="J96" s="418">
        <f>J95</f>
        <v>15</v>
      </c>
    </row>
    <row r="97" spans="1:10">
      <c r="A97" s="344" t="s">
        <v>714</v>
      </c>
      <c r="B97" s="364" t="s">
        <v>549</v>
      </c>
      <c r="C97" s="418">
        <v>0</v>
      </c>
      <c r="D97" s="418">
        <v>0</v>
      </c>
      <c r="E97" s="418"/>
      <c r="F97" s="423">
        <f t="shared" si="3"/>
        <v>0</v>
      </c>
      <c r="G97" s="418"/>
      <c r="H97" s="418"/>
      <c r="I97" s="418"/>
      <c r="J97" s="418"/>
    </row>
    <row r="98" spans="1:10">
      <c r="A98" s="344" t="s">
        <v>592</v>
      </c>
      <c r="B98" s="366" t="s">
        <v>550</v>
      </c>
      <c r="C98" s="418">
        <f>SUM(C100:C101)</f>
        <v>1447.9</v>
      </c>
      <c r="D98" s="418">
        <f t="shared" ref="D98:J98" si="4">SUM(D100:D101)</f>
        <v>2570</v>
      </c>
      <c r="E98" s="418">
        <f t="shared" si="4"/>
        <v>2598.6999999999998</v>
      </c>
      <c r="F98" s="423">
        <f t="shared" si="3"/>
        <v>3470</v>
      </c>
      <c r="G98" s="418">
        <f t="shared" si="4"/>
        <v>360</v>
      </c>
      <c r="H98" s="418">
        <f t="shared" si="4"/>
        <v>990</v>
      </c>
      <c r="I98" s="418">
        <f t="shared" si="4"/>
        <v>1840</v>
      </c>
      <c r="J98" s="418">
        <f t="shared" si="4"/>
        <v>280</v>
      </c>
    </row>
    <row r="99" spans="1:10" ht="11.25" customHeight="1">
      <c r="A99" s="374" t="s">
        <v>948</v>
      </c>
      <c r="B99" s="378"/>
      <c r="C99" s="379"/>
      <c r="D99" s="379"/>
      <c r="E99" s="379"/>
      <c r="F99" s="380"/>
      <c r="G99" s="379"/>
      <c r="H99" s="379"/>
      <c r="I99" s="379"/>
      <c r="J99" s="379"/>
    </row>
    <row r="100" spans="1:10" ht="28.5" customHeight="1">
      <c r="A100" s="374" t="s">
        <v>956</v>
      </c>
      <c r="B100" s="356" t="s">
        <v>551</v>
      </c>
      <c r="C100" s="377"/>
      <c r="D100" s="377"/>
      <c r="E100" s="377"/>
      <c r="F100" s="423">
        <f t="shared" si="3"/>
        <v>0</v>
      </c>
      <c r="G100" s="377"/>
      <c r="H100" s="377"/>
      <c r="I100" s="377"/>
      <c r="J100" s="377"/>
    </row>
    <row r="101" spans="1:10">
      <c r="A101" s="374" t="s">
        <v>552</v>
      </c>
      <c r="B101" s="356" t="s">
        <v>553</v>
      </c>
      <c r="C101" s="417">
        <f>SUM(C102:C105)</f>
        <v>1447.9</v>
      </c>
      <c r="D101" s="417">
        <f>SUM(D102:D105)</f>
        <v>2570</v>
      </c>
      <c r="E101" s="417">
        <f>SUM(E102:E105)</f>
        <v>2598.6999999999998</v>
      </c>
      <c r="F101" s="423">
        <f t="shared" si="3"/>
        <v>3470</v>
      </c>
      <c r="G101" s="417">
        <f>SUM(G102:G105)</f>
        <v>360</v>
      </c>
      <c r="H101" s="417">
        <f>SUM(H102:H105)</f>
        <v>990</v>
      </c>
      <c r="I101" s="417">
        <f>SUM(I102:I105)</f>
        <v>1840</v>
      </c>
      <c r="J101" s="417">
        <f>SUM(J102:J105)</f>
        <v>280</v>
      </c>
    </row>
    <row r="102" spans="1:10">
      <c r="A102" s="412" t="s">
        <v>1174</v>
      </c>
      <c r="B102" s="419" t="s">
        <v>636</v>
      </c>
      <c r="C102" s="417">
        <f>1419.4-40</f>
        <v>1379.4</v>
      </c>
      <c r="D102" s="473">
        <v>2570</v>
      </c>
      <c r="E102" s="417">
        <f ca="1">'IV. Кап. інвестиції'!E44</f>
        <v>2598.6999999999998</v>
      </c>
      <c r="F102" s="423">
        <f t="shared" si="3"/>
        <v>3470</v>
      </c>
      <c r="G102" s="417">
        <f ca="1">'IV. Кап. інвестиції'!G44</f>
        <v>360</v>
      </c>
      <c r="H102" s="417">
        <f ca="1">'IV. Кап. інвестиції'!H44</f>
        <v>990</v>
      </c>
      <c r="I102" s="417">
        <f ca="1">'IV. Кап. інвестиції'!I44</f>
        <v>1840</v>
      </c>
      <c r="J102" s="417">
        <f ca="1">'IV. Кап. інвестиції'!J44</f>
        <v>280</v>
      </c>
    </row>
    <row r="103" spans="1:10">
      <c r="A103" s="414" t="s">
        <v>635</v>
      </c>
      <c r="B103" s="419" t="s">
        <v>637</v>
      </c>
      <c r="C103" s="417">
        <v>0</v>
      </c>
      <c r="D103" s="417"/>
      <c r="E103" s="417"/>
      <c r="F103" s="423">
        <f t="shared" si="3"/>
        <v>0</v>
      </c>
      <c r="G103" s="417"/>
      <c r="H103" s="417"/>
      <c r="I103" s="417"/>
      <c r="J103" s="417"/>
    </row>
    <row r="104" spans="1:10">
      <c r="A104" s="412" t="s">
        <v>1175</v>
      </c>
      <c r="B104" s="419" t="s">
        <v>638</v>
      </c>
      <c r="C104" s="417">
        <f>40+28.5</f>
        <v>68.5</v>
      </c>
      <c r="D104" s="417"/>
      <c r="E104" s="417"/>
      <c r="F104" s="423">
        <f t="shared" si="3"/>
        <v>0</v>
      </c>
      <c r="G104" s="417"/>
      <c r="H104" s="417"/>
      <c r="I104" s="417"/>
      <c r="J104" s="417"/>
    </row>
    <row r="105" spans="1:10">
      <c r="A105" s="412" t="s">
        <v>1176</v>
      </c>
      <c r="B105" s="419" t="s">
        <v>639</v>
      </c>
      <c r="C105" s="417"/>
      <c r="D105" s="417"/>
      <c r="E105" s="417"/>
      <c r="F105" s="423">
        <f t="shared" si="3"/>
        <v>0</v>
      </c>
      <c r="G105" s="417"/>
      <c r="H105" s="417"/>
      <c r="I105" s="417"/>
      <c r="J105" s="417"/>
    </row>
    <row r="106" spans="1:10" ht="40.5" customHeight="1">
      <c r="A106" s="368" t="s">
        <v>554</v>
      </c>
      <c r="B106" s="369" t="s">
        <v>555</v>
      </c>
      <c r="C106" s="410">
        <f>C41-C56</f>
        <v>-4971.0999999999995</v>
      </c>
      <c r="D106" s="410">
        <f>D41-D56</f>
        <v>-3112</v>
      </c>
      <c r="E106" s="410">
        <f>E41-E56</f>
        <v>-3250.8</v>
      </c>
      <c r="F106" s="410">
        <f t="shared" si="3"/>
        <v>-3760</v>
      </c>
      <c r="G106" s="410">
        <f>G41-G56</f>
        <v>-401</v>
      </c>
      <c r="H106" s="410">
        <f>H41-H56</f>
        <v>-1132</v>
      </c>
      <c r="I106" s="410">
        <f>I41-I56</f>
        <v>-1896</v>
      </c>
      <c r="J106" s="410">
        <f>J41-J56</f>
        <v>-331</v>
      </c>
    </row>
    <row r="107" spans="1:10" ht="17.25">
      <c r="A107" s="602" t="s">
        <v>556</v>
      </c>
      <c r="B107" s="602"/>
      <c r="C107" s="602"/>
      <c r="D107" s="602"/>
      <c r="E107" s="602"/>
      <c r="F107" s="602"/>
      <c r="G107" s="602"/>
      <c r="H107" s="602"/>
      <c r="I107" s="602"/>
      <c r="J107" s="602"/>
    </row>
    <row r="108" spans="1:10" ht="41.25" customHeight="1">
      <c r="A108" s="381" t="s">
        <v>557</v>
      </c>
      <c r="B108" s="382" t="s">
        <v>558</v>
      </c>
      <c r="C108" s="410">
        <f>C109+C110+C114+C118+C141</f>
        <v>19765.400000000005</v>
      </c>
      <c r="D108" s="410">
        <f>D109+D110+D114+D118+D141</f>
        <v>9152</v>
      </c>
      <c r="E108" s="410">
        <f>E109+E110+E114+E118+E141</f>
        <v>12182</v>
      </c>
      <c r="F108" s="410">
        <f>SUM(G108:J108)</f>
        <v>34110</v>
      </c>
      <c r="G108" s="410">
        <f>G109+G110+G114+G118+G141</f>
        <v>11265</v>
      </c>
      <c r="H108" s="410">
        <f>H109+H110+H114+H118+H141</f>
        <v>13815</v>
      </c>
      <c r="I108" s="410">
        <f>I109+I110+I114+I118+I141</f>
        <v>9015</v>
      </c>
      <c r="J108" s="410">
        <f>J109+J110+J114+J118+J141</f>
        <v>15</v>
      </c>
    </row>
    <row r="109" spans="1:10">
      <c r="A109" s="383" t="s">
        <v>559</v>
      </c>
      <c r="B109" s="384" t="s">
        <v>560</v>
      </c>
      <c r="C109" s="385"/>
      <c r="D109" s="385"/>
      <c r="E109" s="385"/>
      <c r="F109" s="423">
        <f t="shared" ref="F109:F142" si="5">SUM(G109:J109)</f>
        <v>0</v>
      </c>
      <c r="G109" s="385"/>
      <c r="H109" s="385"/>
      <c r="I109" s="385"/>
      <c r="J109" s="385"/>
    </row>
    <row r="110" spans="1:10" ht="30.75" customHeight="1">
      <c r="A110" s="103" t="s">
        <v>343</v>
      </c>
      <c r="B110" s="384" t="s">
        <v>561</v>
      </c>
      <c r="C110" s="385">
        <f>SUM(C111:C113)</f>
        <v>620.9</v>
      </c>
      <c r="D110" s="385">
        <f t="shared" ref="D110:J110" si="6">SUM(D111:D113)</f>
        <v>0</v>
      </c>
      <c r="E110" s="385">
        <f t="shared" si="6"/>
        <v>0</v>
      </c>
      <c r="F110" s="423">
        <f t="shared" si="5"/>
        <v>0</v>
      </c>
      <c r="G110" s="385">
        <f t="shared" si="6"/>
        <v>0</v>
      </c>
      <c r="H110" s="385">
        <f t="shared" si="6"/>
        <v>0</v>
      </c>
      <c r="I110" s="385">
        <f t="shared" si="6"/>
        <v>0</v>
      </c>
      <c r="J110" s="385">
        <f t="shared" si="6"/>
        <v>0</v>
      </c>
    </row>
    <row r="111" spans="1:10" ht="15" customHeight="1">
      <c r="A111" s="374" t="s">
        <v>754</v>
      </c>
      <c r="B111" s="357" t="s">
        <v>562</v>
      </c>
      <c r="C111" s="461">
        <v>620.9</v>
      </c>
      <c r="D111" s="386"/>
      <c r="E111" s="386"/>
      <c r="F111" s="423">
        <f t="shared" si="5"/>
        <v>0</v>
      </c>
      <c r="G111" s="386"/>
      <c r="H111" s="386"/>
      <c r="I111" s="386"/>
      <c r="J111" s="386"/>
    </row>
    <row r="112" spans="1:10" ht="18" customHeight="1">
      <c r="A112" s="374" t="s">
        <v>755</v>
      </c>
      <c r="B112" s="357" t="s">
        <v>563</v>
      </c>
      <c r="C112" s="386"/>
      <c r="D112" s="386"/>
      <c r="E112" s="386"/>
      <c r="F112" s="423">
        <f t="shared" si="5"/>
        <v>0</v>
      </c>
      <c r="G112" s="386"/>
      <c r="H112" s="386"/>
      <c r="I112" s="386"/>
      <c r="J112" s="386"/>
    </row>
    <row r="113" spans="1:14" ht="15.75" customHeight="1">
      <c r="A113" s="374" t="s">
        <v>780</v>
      </c>
      <c r="B113" s="357" t="s">
        <v>564</v>
      </c>
      <c r="C113" s="386"/>
      <c r="D113" s="386"/>
      <c r="E113" s="386"/>
      <c r="F113" s="423">
        <f t="shared" si="5"/>
        <v>0</v>
      </c>
      <c r="G113" s="386"/>
      <c r="H113" s="386"/>
      <c r="I113" s="386"/>
      <c r="J113" s="386"/>
    </row>
    <row r="114" spans="1:14" ht="39" customHeight="1">
      <c r="A114" s="344" t="s">
        <v>594</v>
      </c>
      <c r="B114" s="384" t="s">
        <v>565</v>
      </c>
      <c r="C114" s="385">
        <f>SUM(C115:C117)</f>
        <v>0</v>
      </c>
      <c r="D114" s="385">
        <f t="shared" ref="D114:J114" si="7">SUM(D115:D117)</f>
        <v>0</v>
      </c>
      <c r="E114" s="385">
        <f t="shared" si="7"/>
        <v>0</v>
      </c>
      <c r="F114" s="423">
        <f t="shared" si="5"/>
        <v>0</v>
      </c>
      <c r="G114" s="385">
        <f t="shared" si="7"/>
        <v>0</v>
      </c>
      <c r="H114" s="385">
        <f t="shared" si="7"/>
        <v>0</v>
      </c>
      <c r="I114" s="385">
        <f t="shared" si="7"/>
        <v>0</v>
      </c>
      <c r="J114" s="385">
        <f t="shared" si="7"/>
        <v>0</v>
      </c>
      <c r="M114" s="387"/>
    </row>
    <row r="115" spans="1:14" ht="18" customHeight="1">
      <c r="A115" s="374" t="s">
        <v>754</v>
      </c>
      <c r="B115" s="357" t="s">
        <v>566</v>
      </c>
      <c r="C115" s="386"/>
      <c r="D115" s="386"/>
      <c r="E115" s="386"/>
      <c r="F115" s="423">
        <f t="shared" si="5"/>
        <v>0</v>
      </c>
      <c r="G115" s="386"/>
      <c r="H115" s="386"/>
      <c r="I115" s="386"/>
      <c r="J115" s="386"/>
      <c r="M115" s="388"/>
    </row>
    <row r="116" spans="1:14" ht="18" customHeight="1">
      <c r="A116" s="374" t="s">
        <v>755</v>
      </c>
      <c r="B116" s="357" t="s">
        <v>567</v>
      </c>
      <c r="C116" s="386"/>
      <c r="D116" s="386"/>
      <c r="E116" s="386"/>
      <c r="F116" s="423">
        <f t="shared" si="5"/>
        <v>0</v>
      </c>
      <c r="G116" s="386"/>
      <c r="H116" s="386"/>
      <c r="I116" s="386"/>
      <c r="J116" s="386"/>
      <c r="M116" s="388"/>
      <c r="N116" s="387"/>
    </row>
    <row r="117" spans="1:14" ht="18.75" customHeight="1">
      <c r="A117" s="374" t="s">
        <v>780</v>
      </c>
      <c r="B117" s="357" t="s">
        <v>568</v>
      </c>
      <c r="C117" s="386"/>
      <c r="D117" s="386"/>
      <c r="E117" s="386"/>
      <c r="F117" s="423">
        <f t="shared" si="5"/>
        <v>0</v>
      </c>
      <c r="G117" s="386"/>
      <c r="H117" s="386"/>
      <c r="I117" s="386"/>
      <c r="J117" s="386"/>
      <c r="M117" s="388"/>
      <c r="N117" s="387"/>
    </row>
    <row r="118" spans="1:14" ht="35.25" customHeight="1">
      <c r="A118" s="344" t="s">
        <v>595</v>
      </c>
      <c r="B118" s="384" t="s">
        <v>569</v>
      </c>
      <c r="C118" s="417">
        <f>C119</f>
        <v>19090.100000000002</v>
      </c>
      <c r="D118" s="417">
        <f>D119</f>
        <v>9122</v>
      </c>
      <c r="E118" s="417">
        <f>E119</f>
        <v>12122</v>
      </c>
      <c r="F118" s="423">
        <f t="shared" si="5"/>
        <v>34050</v>
      </c>
      <c r="G118" s="417">
        <f>G119</f>
        <v>11250</v>
      </c>
      <c r="H118" s="417">
        <f>H119</f>
        <v>13800</v>
      </c>
      <c r="I118" s="417">
        <f>I119</f>
        <v>9000</v>
      </c>
      <c r="J118" s="417">
        <f>J119</f>
        <v>0</v>
      </c>
      <c r="M118" s="388"/>
      <c r="N118" s="387"/>
    </row>
    <row r="119" spans="1:14" ht="19.5" customHeight="1">
      <c r="A119" s="235" t="s">
        <v>642</v>
      </c>
      <c r="B119" s="420" t="s">
        <v>641</v>
      </c>
      <c r="C119" s="417">
        <f>SUM(C120:C138)</f>
        <v>19090.100000000002</v>
      </c>
      <c r="D119" s="417">
        <f>SUM(D120:D138)</f>
        <v>9122</v>
      </c>
      <c r="E119" s="417">
        <f>SUM(E120:E138)</f>
        <v>12122</v>
      </c>
      <c r="F119" s="423">
        <f>SUM(G119:J119)</f>
        <v>34050</v>
      </c>
      <c r="G119" s="417">
        <f>SUM(G120:G133)</f>
        <v>11250</v>
      </c>
      <c r="H119" s="417">
        <f>SUM(H120:H140)</f>
        <v>13800</v>
      </c>
      <c r="I119" s="417">
        <f>SUM(I120:I140)</f>
        <v>9000</v>
      </c>
      <c r="J119" s="417">
        <f>SUM(J120:J140)</f>
        <v>0</v>
      </c>
      <c r="M119" s="388"/>
      <c r="N119" s="387"/>
    </row>
    <row r="120" spans="1:14" ht="22.5" customHeight="1">
      <c r="A120" s="427" t="s">
        <v>643</v>
      </c>
      <c r="B120" s="426" t="s">
        <v>650</v>
      </c>
      <c r="C120" s="417">
        <v>928.8</v>
      </c>
      <c r="D120" s="473">
        <v>0</v>
      </c>
      <c r="E120" s="417">
        <v>0</v>
      </c>
      <c r="F120" s="423">
        <f t="shared" si="5"/>
        <v>0</v>
      </c>
      <c r="G120" s="417"/>
      <c r="H120" s="417"/>
      <c r="I120" s="417"/>
      <c r="J120" s="417"/>
      <c r="M120" s="388"/>
      <c r="N120" s="387"/>
    </row>
    <row r="121" spans="1:14" ht="19.5" customHeight="1">
      <c r="A121" s="427" t="s">
        <v>644</v>
      </c>
      <c r="B121" s="426" t="s">
        <v>651</v>
      </c>
      <c r="C121" s="417">
        <v>1530</v>
      </c>
      <c r="D121" s="473">
        <v>0</v>
      </c>
      <c r="E121" s="417">
        <v>0</v>
      </c>
      <c r="F121" s="423">
        <f t="shared" si="5"/>
        <v>0</v>
      </c>
      <c r="G121" s="417"/>
      <c r="H121" s="417"/>
      <c r="I121" s="417"/>
      <c r="J121" s="417"/>
      <c r="M121" s="388"/>
      <c r="N121" s="387"/>
    </row>
    <row r="122" spans="1:14" ht="23.25" customHeight="1">
      <c r="A122" s="427" t="s">
        <v>645</v>
      </c>
      <c r="B122" s="426" t="s">
        <v>652</v>
      </c>
      <c r="C122" s="417">
        <v>225.3</v>
      </c>
      <c r="D122" s="473">
        <v>0</v>
      </c>
      <c r="E122" s="417">
        <v>0</v>
      </c>
      <c r="F122" s="423">
        <f t="shared" si="5"/>
        <v>0</v>
      </c>
      <c r="G122" s="417"/>
      <c r="H122" s="417"/>
      <c r="I122" s="417"/>
      <c r="J122" s="417"/>
      <c r="M122" s="388"/>
      <c r="N122" s="387"/>
    </row>
    <row r="123" spans="1:14" ht="24.75" customHeight="1">
      <c r="A123" s="427" t="s">
        <v>646</v>
      </c>
      <c r="B123" s="426" t="s">
        <v>653</v>
      </c>
      <c r="C123" s="417">
        <v>1612.7</v>
      </c>
      <c r="D123" s="473">
        <v>0</v>
      </c>
      <c r="E123" s="417">
        <v>0</v>
      </c>
      <c r="F123" s="423">
        <f t="shared" si="5"/>
        <v>0</v>
      </c>
      <c r="G123" s="417"/>
      <c r="H123" s="417"/>
      <c r="I123" s="417"/>
      <c r="J123" s="417"/>
      <c r="M123" s="388"/>
      <c r="N123" s="387"/>
    </row>
    <row r="124" spans="1:14" ht="23.25" customHeight="1">
      <c r="A124" s="427" t="s">
        <v>647</v>
      </c>
      <c r="B124" s="426" t="s">
        <v>654</v>
      </c>
      <c r="C124" s="417">
        <v>3772.3</v>
      </c>
      <c r="D124" s="473">
        <v>4622</v>
      </c>
      <c r="E124" s="417">
        <v>4622</v>
      </c>
      <c r="F124" s="423">
        <f t="shared" si="5"/>
        <v>2150</v>
      </c>
      <c r="G124" s="417">
        <v>2150</v>
      </c>
      <c r="H124" s="417"/>
      <c r="I124" s="417"/>
      <c r="J124" s="417"/>
      <c r="M124" s="388"/>
      <c r="N124" s="387"/>
    </row>
    <row r="125" spans="1:14">
      <c r="A125" s="427" t="s">
        <v>648</v>
      </c>
      <c r="B125" s="426" t="s">
        <v>655</v>
      </c>
      <c r="C125" s="417">
        <v>3000</v>
      </c>
      <c r="D125" s="473">
        <v>0</v>
      </c>
      <c r="E125" s="417">
        <v>0</v>
      </c>
      <c r="F125" s="423">
        <f t="shared" si="5"/>
        <v>0</v>
      </c>
      <c r="G125" s="417"/>
      <c r="H125" s="417"/>
      <c r="I125" s="417"/>
      <c r="J125" s="417"/>
      <c r="M125" s="388"/>
      <c r="N125" s="387"/>
    </row>
    <row r="126" spans="1:14">
      <c r="A126" s="427" t="s">
        <v>649</v>
      </c>
      <c r="B126" s="426" t="s">
        <v>656</v>
      </c>
      <c r="C126" s="417">
        <v>5294.2</v>
      </c>
      <c r="D126" s="473">
        <v>0</v>
      </c>
      <c r="E126" s="417">
        <v>0</v>
      </c>
      <c r="F126" s="423">
        <f t="shared" si="5"/>
        <v>0</v>
      </c>
      <c r="G126" s="417"/>
      <c r="H126" s="417"/>
      <c r="I126" s="417"/>
      <c r="J126" s="417"/>
      <c r="M126" s="388"/>
      <c r="N126" s="387"/>
    </row>
    <row r="127" spans="1:14" ht="24">
      <c r="A127" s="427" t="s">
        <v>344</v>
      </c>
      <c r="B127" s="426" t="s">
        <v>185</v>
      </c>
      <c r="C127" s="432"/>
      <c r="D127" s="432"/>
      <c r="E127" s="432"/>
      <c r="F127" s="423">
        <f t="shared" si="5"/>
        <v>100</v>
      </c>
      <c r="G127" s="432">
        <v>100</v>
      </c>
      <c r="H127" s="432"/>
      <c r="I127" s="432"/>
      <c r="J127" s="432"/>
      <c r="M127" s="388"/>
      <c r="N127" s="387"/>
    </row>
    <row r="128" spans="1:14">
      <c r="A128" s="427" t="s">
        <v>189</v>
      </c>
      <c r="B128" s="426" t="s">
        <v>186</v>
      </c>
      <c r="C128" s="432">
        <v>-43.5</v>
      </c>
      <c r="D128" s="432"/>
      <c r="E128" s="432"/>
      <c r="F128" s="423">
        <f t="shared" si="5"/>
        <v>0</v>
      </c>
      <c r="G128" s="432"/>
      <c r="H128" s="432"/>
      <c r="I128" s="432"/>
      <c r="J128" s="432"/>
      <c r="M128" s="388"/>
      <c r="N128" s="387"/>
    </row>
    <row r="129" spans="1:14" ht="10.5" customHeight="1">
      <c r="A129" s="523" t="s">
        <v>190</v>
      </c>
      <c r="B129" s="426" t="s">
        <v>187</v>
      </c>
      <c r="C129" s="432"/>
      <c r="D129" s="432"/>
      <c r="E129" s="432"/>
      <c r="F129" s="423">
        <f t="shared" si="5"/>
        <v>0</v>
      </c>
      <c r="G129" s="432"/>
      <c r="H129" s="432"/>
      <c r="I129" s="432"/>
      <c r="J129" s="432"/>
      <c r="M129" s="388"/>
      <c r="N129" s="387"/>
    </row>
    <row r="130" spans="1:14" ht="12.75" customHeight="1">
      <c r="A130" s="523" t="s">
        <v>461</v>
      </c>
      <c r="B130" s="426" t="s">
        <v>188</v>
      </c>
      <c r="C130" s="432"/>
      <c r="D130" s="432"/>
      <c r="E130" s="432"/>
      <c r="F130" s="423">
        <f t="shared" si="5"/>
        <v>0</v>
      </c>
      <c r="G130" s="432"/>
      <c r="H130" s="432"/>
      <c r="I130" s="432"/>
      <c r="J130" s="432"/>
      <c r="M130" s="388"/>
      <c r="N130" s="387"/>
    </row>
    <row r="131" spans="1:14" ht="18" customHeight="1">
      <c r="A131" s="427" t="s">
        <v>193</v>
      </c>
      <c r="B131" s="426" t="s">
        <v>191</v>
      </c>
      <c r="C131" s="432">
        <v>-353.5</v>
      </c>
      <c r="D131" s="432"/>
      <c r="E131" s="432"/>
      <c r="F131" s="423">
        <f t="shared" si="5"/>
        <v>0</v>
      </c>
      <c r="G131" s="432"/>
      <c r="H131" s="432"/>
      <c r="I131" s="432"/>
      <c r="J131" s="432"/>
      <c r="M131" s="388"/>
      <c r="N131" s="387"/>
    </row>
    <row r="132" spans="1:14" ht="24">
      <c r="A132" s="427" t="s">
        <v>194</v>
      </c>
      <c r="B132" s="426" t="s">
        <v>192</v>
      </c>
      <c r="C132" s="432">
        <v>1500</v>
      </c>
      <c r="D132" s="432"/>
      <c r="E132" s="432"/>
      <c r="F132" s="423">
        <f t="shared" si="5"/>
        <v>0</v>
      </c>
      <c r="G132" s="432"/>
      <c r="H132" s="432"/>
      <c r="I132" s="432"/>
      <c r="J132" s="432"/>
      <c r="M132" s="388"/>
      <c r="N132" s="387"/>
    </row>
    <row r="133" spans="1:14" ht="24">
      <c r="A133" s="427" t="s">
        <v>197</v>
      </c>
      <c r="B133" s="426" t="s">
        <v>196</v>
      </c>
      <c r="C133" s="432">
        <v>800</v>
      </c>
      <c r="D133" s="474">
        <v>4500</v>
      </c>
      <c r="E133" s="432">
        <v>7500</v>
      </c>
      <c r="F133" s="423">
        <f t="shared" si="5"/>
        <v>27000</v>
      </c>
      <c r="G133" s="432">
        <f>3000+6000</f>
        <v>9000</v>
      </c>
      <c r="H133" s="432">
        <v>9000</v>
      </c>
      <c r="I133" s="538">
        <v>9000</v>
      </c>
      <c r="J133" s="432"/>
      <c r="M133" s="388"/>
      <c r="N133" s="387"/>
    </row>
    <row r="134" spans="1:14">
      <c r="A134" s="427" t="s">
        <v>299</v>
      </c>
      <c r="B134" s="426" t="s">
        <v>300</v>
      </c>
      <c r="C134" s="432">
        <v>300</v>
      </c>
      <c r="D134" s="432"/>
      <c r="E134" s="432"/>
      <c r="F134" s="423">
        <f t="shared" si="5"/>
        <v>0</v>
      </c>
      <c r="G134" s="432"/>
      <c r="H134" s="432"/>
      <c r="I134" s="432"/>
      <c r="J134" s="432"/>
      <c r="M134" s="388"/>
      <c r="N134" s="387"/>
    </row>
    <row r="135" spans="1:14">
      <c r="A135" s="427" t="s">
        <v>473</v>
      </c>
      <c r="B135" s="426" t="s">
        <v>301</v>
      </c>
      <c r="C135" s="432">
        <v>179.9</v>
      </c>
      <c r="D135" s="432"/>
      <c r="E135" s="432"/>
      <c r="F135" s="423">
        <f t="shared" si="5"/>
        <v>0</v>
      </c>
      <c r="G135" s="432"/>
      <c r="H135" s="432"/>
      <c r="I135" s="432"/>
      <c r="J135" s="432"/>
      <c r="M135" s="388"/>
      <c r="N135" s="387"/>
    </row>
    <row r="136" spans="1:14">
      <c r="A136" s="427" t="s">
        <v>474</v>
      </c>
      <c r="B136" s="426" t="s">
        <v>302</v>
      </c>
      <c r="C136" s="432">
        <v>174</v>
      </c>
      <c r="D136" s="432"/>
      <c r="E136" s="432"/>
      <c r="F136" s="423">
        <f t="shared" si="5"/>
        <v>0</v>
      </c>
      <c r="G136" s="432"/>
      <c r="H136" s="432"/>
      <c r="I136" s="432"/>
      <c r="J136" s="432"/>
      <c r="M136" s="388"/>
      <c r="N136" s="387"/>
    </row>
    <row r="137" spans="1:14">
      <c r="A137" s="427" t="s">
        <v>475</v>
      </c>
      <c r="B137" s="426" t="s">
        <v>303</v>
      </c>
      <c r="C137" s="432">
        <v>70</v>
      </c>
      <c r="D137" s="432"/>
      <c r="E137" s="432"/>
      <c r="F137" s="423">
        <f t="shared" si="5"/>
        <v>0</v>
      </c>
      <c r="G137" s="432"/>
      <c r="H137" s="432"/>
      <c r="I137" s="432"/>
      <c r="J137" s="432"/>
      <c r="M137" s="388"/>
      <c r="N137" s="387"/>
    </row>
    <row r="138" spans="1:14">
      <c r="A138" s="427" t="s">
        <v>304</v>
      </c>
      <c r="B138" s="426" t="s">
        <v>305</v>
      </c>
      <c r="C138" s="432">
        <v>99.9</v>
      </c>
      <c r="D138" s="432"/>
      <c r="E138" s="432"/>
      <c r="F138" s="423">
        <f t="shared" si="5"/>
        <v>0</v>
      </c>
      <c r="G138" s="432"/>
      <c r="H138" s="432"/>
      <c r="I138" s="432"/>
      <c r="J138" s="432"/>
      <c r="M138" s="388"/>
      <c r="N138" s="387"/>
    </row>
    <row r="139" spans="1:14" ht="48">
      <c r="A139" s="427" t="s">
        <v>356</v>
      </c>
      <c r="B139" s="426" t="s">
        <v>353</v>
      </c>
      <c r="C139" s="432"/>
      <c r="D139" s="432"/>
      <c r="E139" s="432"/>
      <c r="F139" s="423">
        <f t="shared" si="5"/>
        <v>3000</v>
      </c>
      <c r="G139" s="432"/>
      <c r="H139" s="432">
        <v>3000</v>
      </c>
      <c r="I139" s="432"/>
      <c r="J139" s="432"/>
      <c r="M139" s="388"/>
      <c r="N139" s="387"/>
    </row>
    <row r="140" spans="1:14">
      <c r="A140" s="427" t="s">
        <v>355</v>
      </c>
      <c r="B140" s="426" t="s">
        <v>354</v>
      </c>
      <c r="C140" s="432"/>
      <c r="D140" s="432"/>
      <c r="E140" s="432"/>
      <c r="F140" s="423">
        <f t="shared" si="5"/>
        <v>1800</v>
      </c>
      <c r="G140" s="432"/>
      <c r="H140" s="432">
        <v>1800</v>
      </c>
      <c r="I140" s="432"/>
      <c r="J140" s="432"/>
      <c r="M140" s="388"/>
      <c r="N140" s="387"/>
    </row>
    <row r="141" spans="1:14">
      <c r="A141" s="344" t="s">
        <v>596</v>
      </c>
      <c r="B141" s="384" t="s">
        <v>570</v>
      </c>
      <c r="C141" s="422">
        <f>C142</f>
        <v>54.4</v>
      </c>
      <c r="D141" s="422">
        <f>D142</f>
        <v>30</v>
      </c>
      <c r="E141" s="422">
        <f>E142</f>
        <v>60</v>
      </c>
      <c r="F141" s="423">
        <f t="shared" si="5"/>
        <v>60</v>
      </c>
      <c r="G141" s="422">
        <f>G142</f>
        <v>15</v>
      </c>
      <c r="H141" s="422">
        <f>H142</f>
        <v>15</v>
      </c>
      <c r="I141" s="422">
        <f>I142</f>
        <v>15</v>
      </c>
      <c r="J141" s="422">
        <f>J142</f>
        <v>15</v>
      </c>
      <c r="M141" s="388"/>
      <c r="N141" s="387"/>
    </row>
    <row r="142" spans="1:14">
      <c r="A142" s="412" t="s">
        <v>1178</v>
      </c>
      <c r="B142" s="421" t="s">
        <v>640</v>
      </c>
      <c r="C142" s="422">
        <v>54.4</v>
      </c>
      <c r="D142" s="475">
        <v>30</v>
      </c>
      <c r="E142" s="422">
        <f ca="1">'I. Фін результат'!E156</f>
        <v>60</v>
      </c>
      <c r="F142" s="423">
        <f t="shared" si="5"/>
        <v>60</v>
      </c>
      <c r="G142" s="422">
        <f ca="1">'I. Фін результат'!G156</f>
        <v>15</v>
      </c>
      <c r="H142" s="422">
        <f ca="1">'I. Фін результат'!H156</f>
        <v>15</v>
      </c>
      <c r="I142" s="422">
        <f ca="1">'I. Фін результат'!I156</f>
        <v>15</v>
      </c>
      <c r="J142" s="422">
        <f ca="1">'I. Фін результат'!J156</f>
        <v>15</v>
      </c>
      <c r="M142" s="388"/>
      <c r="N142" s="387"/>
    </row>
    <row r="143" spans="1:14" ht="35.25" customHeight="1">
      <c r="A143" s="361" t="s">
        <v>571</v>
      </c>
      <c r="B143" s="362" t="s">
        <v>572</v>
      </c>
      <c r="C143" s="410">
        <f>C144+C145+C149+C153</f>
        <v>1654.8</v>
      </c>
      <c r="D143" s="410">
        <f t="shared" ref="D143:J143" si="8">D144+D145+D149+D153</f>
        <v>0</v>
      </c>
      <c r="E143" s="410">
        <f t="shared" si="8"/>
        <v>0</v>
      </c>
      <c r="F143" s="410">
        <f>SUM(G143:J143)</f>
        <v>0</v>
      </c>
      <c r="G143" s="410">
        <f t="shared" si="8"/>
        <v>0</v>
      </c>
      <c r="H143" s="410">
        <f t="shared" si="8"/>
        <v>0</v>
      </c>
      <c r="I143" s="410">
        <f t="shared" si="8"/>
        <v>0</v>
      </c>
      <c r="J143" s="410">
        <f t="shared" si="8"/>
        <v>0</v>
      </c>
      <c r="M143" s="387"/>
      <c r="N143" s="388"/>
    </row>
    <row r="144" spans="1:14" ht="31.5" customHeight="1">
      <c r="A144" s="495" t="s">
        <v>946</v>
      </c>
      <c r="B144" s="366" t="s">
        <v>573</v>
      </c>
      <c r="C144" s="462">
        <v>1640</v>
      </c>
      <c r="D144" s="409"/>
      <c r="E144" s="409">
        <f>D144</f>
        <v>0</v>
      </c>
      <c r="F144" s="423">
        <f t="shared" ref="F144:F153" si="9">SUM(G144:J144)</f>
        <v>0</v>
      </c>
      <c r="G144" s="389"/>
      <c r="H144" s="389"/>
      <c r="I144" s="389"/>
      <c r="J144" s="389"/>
      <c r="M144" s="387"/>
      <c r="N144" s="388"/>
    </row>
    <row r="145" spans="1:14" ht="29.25" customHeight="1">
      <c r="A145" s="103" t="s">
        <v>342</v>
      </c>
      <c r="B145" s="366" t="s">
        <v>574</v>
      </c>
      <c r="C145" s="367">
        <f>SUM(C146:C148)</f>
        <v>0</v>
      </c>
      <c r="D145" s="367">
        <f t="shared" ref="D145:J145" si="10">SUM(D146:D148)</f>
        <v>0</v>
      </c>
      <c r="E145" s="367">
        <f t="shared" si="10"/>
        <v>0</v>
      </c>
      <c r="F145" s="423">
        <f t="shared" si="9"/>
        <v>0</v>
      </c>
      <c r="G145" s="367">
        <f t="shared" si="10"/>
        <v>0</v>
      </c>
      <c r="H145" s="367">
        <f t="shared" si="10"/>
        <v>0</v>
      </c>
      <c r="I145" s="367">
        <f t="shared" si="10"/>
        <v>0</v>
      </c>
      <c r="J145" s="367">
        <f t="shared" si="10"/>
        <v>0</v>
      </c>
      <c r="M145" s="387"/>
      <c r="N145" s="388"/>
    </row>
    <row r="146" spans="1:14" s="486" customFormat="1" ht="9" customHeight="1">
      <c r="A146" s="482" t="s">
        <v>754</v>
      </c>
      <c r="B146" s="483" t="s">
        <v>575</v>
      </c>
      <c r="C146" s="484"/>
      <c r="D146" s="484"/>
      <c r="E146" s="484"/>
      <c r="F146" s="485">
        <f t="shared" si="9"/>
        <v>0</v>
      </c>
      <c r="G146" s="484"/>
      <c r="H146" s="484"/>
      <c r="I146" s="484"/>
      <c r="J146" s="484"/>
      <c r="M146" s="487"/>
      <c r="N146" s="488"/>
    </row>
    <row r="147" spans="1:14" s="486" customFormat="1" ht="10.5" customHeight="1">
      <c r="A147" s="482" t="s">
        <v>755</v>
      </c>
      <c r="B147" s="483" t="s">
        <v>576</v>
      </c>
      <c r="C147" s="484"/>
      <c r="D147" s="484"/>
      <c r="E147" s="484"/>
      <c r="F147" s="485">
        <f t="shared" si="9"/>
        <v>0</v>
      </c>
      <c r="G147" s="484"/>
      <c r="H147" s="484"/>
      <c r="I147" s="484"/>
      <c r="J147" s="484"/>
      <c r="M147" s="487"/>
      <c r="N147" s="488"/>
    </row>
    <row r="148" spans="1:14" s="486" customFormat="1" ht="9.75" customHeight="1">
      <c r="A148" s="482" t="s">
        <v>780</v>
      </c>
      <c r="B148" s="483" t="s">
        <v>577</v>
      </c>
      <c r="C148" s="484"/>
      <c r="D148" s="484"/>
      <c r="E148" s="484"/>
      <c r="F148" s="485">
        <f t="shared" si="9"/>
        <v>0</v>
      </c>
      <c r="G148" s="484"/>
      <c r="H148" s="484"/>
      <c r="I148" s="484"/>
      <c r="J148" s="484"/>
      <c r="M148" s="487"/>
      <c r="N148" s="488"/>
    </row>
    <row r="149" spans="1:14" ht="33" customHeight="1">
      <c r="A149" s="344" t="s">
        <v>597</v>
      </c>
      <c r="B149" s="366" t="s">
        <v>578</v>
      </c>
      <c r="C149" s="367">
        <f>SUM(C150:C152)</f>
        <v>0</v>
      </c>
      <c r="D149" s="367">
        <f>SUM(D150:D152)</f>
        <v>0</v>
      </c>
      <c r="E149" s="367">
        <f>SUM(E150:E152)</f>
        <v>0</v>
      </c>
      <c r="F149" s="423">
        <f t="shared" si="9"/>
        <v>0</v>
      </c>
      <c r="G149" s="367">
        <f>SUM(G150:G152)</f>
        <v>0</v>
      </c>
      <c r="H149" s="367">
        <f>SUM(H150:H152)</f>
        <v>0</v>
      </c>
      <c r="I149" s="367">
        <f>SUM(I150:I152)</f>
        <v>0</v>
      </c>
      <c r="J149" s="367">
        <f>SUM(J150:J152)</f>
        <v>0</v>
      </c>
      <c r="M149" s="387"/>
      <c r="N149" s="388"/>
    </row>
    <row r="150" spans="1:14" s="240" customFormat="1" ht="12" customHeight="1">
      <c r="A150" s="489" t="s">
        <v>754</v>
      </c>
      <c r="B150" s="490" t="s">
        <v>579</v>
      </c>
      <c r="C150" s="491"/>
      <c r="D150" s="491"/>
      <c r="E150" s="491"/>
      <c r="F150" s="492">
        <f t="shared" si="9"/>
        <v>0</v>
      </c>
      <c r="G150" s="491"/>
      <c r="H150" s="491"/>
      <c r="I150" s="491"/>
      <c r="J150" s="491"/>
      <c r="M150" s="493"/>
      <c r="N150" s="494"/>
    </row>
    <row r="151" spans="1:14" s="240" customFormat="1" ht="12" customHeight="1">
      <c r="A151" s="489" t="s">
        <v>755</v>
      </c>
      <c r="B151" s="490" t="s">
        <v>580</v>
      </c>
      <c r="C151" s="491"/>
      <c r="D151" s="491"/>
      <c r="E151" s="491"/>
      <c r="F151" s="492">
        <f t="shared" si="9"/>
        <v>0</v>
      </c>
      <c r="G151" s="491"/>
      <c r="H151" s="491"/>
      <c r="I151" s="491"/>
      <c r="J151" s="491"/>
      <c r="M151" s="493"/>
      <c r="N151" s="494"/>
    </row>
    <row r="152" spans="1:14" s="240" customFormat="1" ht="12" customHeight="1">
      <c r="A152" s="489" t="s">
        <v>780</v>
      </c>
      <c r="B152" s="490" t="s">
        <v>581</v>
      </c>
      <c r="C152" s="491"/>
      <c r="D152" s="491"/>
      <c r="E152" s="491"/>
      <c r="F152" s="492">
        <f t="shared" si="9"/>
        <v>0</v>
      </c>
      <c r="G152" s="491"/>
      <c r="H152" s="491"/>
      <c r="I152" s="491"/>
      <c r="J152" s="491"/>
      <c r="M152" s="493"/>
      <c r="N152" s="494"/>
    </row>
    <row r="153" spans="1:14">
      <c r="A153" s="344" t="s">
        <v>592</v>
      </c>
      <c r="B153" s="366" t="s">
        <v>582</v>
      </c>
      <c r="C153" s="463">
        <v>14.8</v>
      </c>
      <c r="D153" s="389"/>
      <c r="E153" s="389"/>
      <c r="F153" s="423">
        <f t="shared" si="9"/>
        <v>0</v>
      </c>
      <c r="G153" s="389"/>
      <c r="H153" s="389"/>
      <c r="I153" s="389"/>
      <c r="J153" s="389"/>
      <c r="M153" s="387"/>
      <c r="N153" s="388"/>
    </row>
    <row r="154" spans="1:14" ht="38.25" customHeight="1">
      <c r="A154" s="390" t="s">
        <v>810</v>
      </c>
      <c r="B154" s="369" t="s">
        <v>583</v>
      </c>
      <c r="C154" s="410">
        <f>C108-C143</f>
        <v>18110.600000000006</v>
      </c>
      <c r="D154" s="410">
        <f>D108-D143</f>
        <v>9152</v>
      </c>
      <c r="E154" s="410">
        <f>E108-E143</f>
        <v>12182</v>
      </c>
      <c r="F154" s="410">
        <f>SUM(G154:J154)</f>
        <v>34110</v>
      </c>
      <c r="G154" s="410">
        <f>G108-G143</f>
        <v>11265</v>
      </c>
      <c r="H154" s="410">
        <f>H108-H143</f>
        <v>13815</v>
      </c>
      <c r="I154" s="410">
        <f>I108-I143</f>
        <v>9015</v>
      </c>
      <c r="J154" s="410">
        <f>J108-J143</f>
        <v>15</v>
      </c>
      <c r="M154" s="387"/>
      <c r="N154" s="388"/>
    </row>
    <row r="155" spans="1:14">
      <c r="A155" s="344" t="s">
        <v>692</v>
      </c>
      <c r="B155" s="391"/>
      <c r="C155" s="389"/>
      <c r="D155" s="389"/>
      <c r="E155" s="389"/>
      <c r="F155" s="423">
        <f>SUM(G155:J155)</f>
        <v>0</v>
      </c>
      <c r="G155" s="389"/>
      <c r="H155" s="389"/>
      <c r="I155" s="389"/>
      <c r="J155" s="389"/>
      <c r="M155" s="387"/>
      <c r="N155" s="388"/>
    </row>
    <row r="156" spans="1:14">
      <c r="A156" s="392" t="s">
        <v>693</v>
      </c>
      <c r="B156" s="369" t="s">
        <v>584</v>
      </c>
      <c r="C156" s="410">
        <v>1415.6</v>
      </c>
      <c r="D156" s="410">
        <v>223.5</v>
      </c>
      <c r="E156" s="410">
        <v>3323.6</v>
      </c>
      <c r="F156" s="410">
        <f>G156</f>
        <v>287.53999999997905</v>
      </c>
      <c r="G156" s="410">
        <f>D158</f>
        <v>287.53999999997905</v>
      </c>
      <c r="H156" s="410">
        <f>G158</f>
        <v>356.21999999998661</v>
      </c>
      <c r="I156" s="410">
        <f>H158</f>
        <v>390.31999999997788</v>
      </c>
      <c r="J156" s="410">
        <f>I158</f>
        <v>448.9599999999773</v>
      </c>
      <c r="M156" s="387"/>
      <c r="N156" s="388"/>
    </row>
    <row r="157" spans="1:14" ht="30" customHeight="1">
      <c r="A157" s="343" t="s">
        <v>813</v>
      </c>
      <c r="B157" s="366" t="s">
        <v>585</v>
      </c>
      <c r="C157" s="367"/>
      <c r="D157" s="367"/>
      <c r="E157" s="367"/>
      <c r="F157" s="410"/>
      <c r="G157" s="389"/>
      <c r="H157" s="389"/>
      <c r="I157" s="389"/>
      <c r="J157" s="389"/>
      <c r="M157" s="387"/>
      <c r="N157" s="388"/>
    </row>
    <row r="158" spans="1:14">
      <c r="A158" s="392" t="s">
        <v>715</v>
      </c>
      <c r="B158" s="369" t="s">
        <v>586</v>
      </c>
      <c r="C158" s="410">
        <f>C156+C39+C106+C154</f>
        <v>3323.6000000000058</v>
      </c>
      <c r="D158" s="410">
        <f>D156+D39+D106+D154</f>
        <v>287.53999999997905</v>
      </c>
      <c r="E158" s="410">
        <f>E156+E39+E106+E154</f>
        <v>6373.568639999994</v>
      </c>
      <c r="F158" s="410">
        <f>J158</f>
        <v>487.9999999999709</v>
      </c>
      <c r="G158" s="410">
        <f>G156+G39+G106+G154</f>
        <v>356.21999999998661</v>
      </c>
      <c r="H158" s="410">
        <f>H156+H39+H106+H154</f>
        <v>390.31999999997788</v>
      </c>
      <c r="I158" s="410">
        <f>I156+I39+I106+I154</f>
        <v>448.9599999999773</v>
      </c>
      <c r="J158" s="410">
        <f>J156+J39+J106+J154</f>
        <v>487.9999999999709</v>
      </c>
      <c r="M158" s="387"/>
      <c r="N158" s="388"/>
    </row>
    <row r="159" spans="1:14">
      <c r="A159" s="392" t="s">
        <v>694</v>
      </c>
      <c r="B159" s="369" t="s">
        <v>587</v>
      </c>
      <c r="C159" s="410">
        <f>C39+C106+C154</f>
        <v>1908.0000000000073</v>
      </c>
      <c r="D159" s="410">
        <f>D39+D106+D154</f>
        <v>64.039999999979045</v>
      </c>
      <c r="E159" s="410">
        <f>E39+E106+E154</f>
        <v>3049.9686399999955</v>
      </c>
      <c r="F159" s="410">
        <f>SUM(G159:J159)</f>
        <v>200.45999999999185</v>
      </c>
      <c r="G159" s="410">
        <f>G39+G106+G154</f>
        <v>68.680000000007567</v>
      </c>
      <c r="H159" s="410">
        <f>H39+H106+H154</f>
        <v>34.099999999991269</v>
      </c>
      <c r="I159" s="410">
        <f>I39+I106+I154</f>
        <v>58.639999999999418</v>
      </c>
      <c r="J159" s="410">
        <f>J39+J106+J154</f>
        <v>39.039999999993597</v>
      </c>
      <c r="M159" s="387"/>
      <c r="N159" s="388"/>
    </row>
    <row r="160" spans="1:14" ht="26.25" customHeight="1">
      <c r="A160" s="393"/>
      <c r="B160" s="393"/>
      <c r="C160" s="394"/>
      <c r="D160" s="394"/>
      <c r="E160" s="395"/>
      <c r="F160" s="396"/>
      <c r="G160" s="394"/>
      <c r="H160" s="394"/>
      <c r="I160" s="394"/>
      <c r="J160" s="393"/>
      <c r="M160" s="387"/>
    </row>
    <row r="161" spans="1:10" ht="13.5" customHeight="1">
      <c r="A161" s="397" t="s">
        <v>1164</v>
      </c>
      <c r="B161" s="398"/>
      <c r="C161" s="593" t="s">
        <v>1165</v>
      </c>
      <c r="D161" s="593"/>
      <c r="E161" s="594" t="s">
        <v>317</v>
      </c>
      <c r="F161" s="594"/>
      <c r="G161" s="594"/>
      <c r="H161" s="399"/>
      <c r="I161" s="399"/>
      <c r="J161" s="393"/>
    </row>
    <row r="162" spans="1:10" ht="19.5" customHeight="1">
      <c r="A162" s="400" t="s">
        <v>1166</v>
      </c>
      <c r="B162" s="401"/>
      <c r="C162" s="591" t="s">
        <v>741</v>
      </c>
      <c r="D162" s="591"/>
      <c r="E162" s="592" t="s">
        <v>1167</v>
      </c>
      <c r="F162" s="592"/>
      <c r="G162" s="592"/>
      <c r="H162" s="402"/>
      <c r="I162" s="402"/>
      <c r="J162" s="393"/>
    </row>
    <row r="163" spans="1:10" ht="6.75" customHeight="1">
      <c r="A163" s="403"/>
      <c r="B163" s="404"/>
      <c r="C163" s="404"/>
      <c r="D163" s="404"/>
      <c r="E163" s="404"/>
      <c r="F163" s="404"/>
      <c r="G163" s="404"/>
      <c r="H163" s="399"/>
      <c r="I163" s="399"/>
      <c r="J163" s="393"/>
    </row>
    <row r="164" spans="1:10" ht="17.25" customHeight="1">
      <c r="A164" s="397" t="s">
        <v>1168</v>
      </c>
      <c r="B164" s="405"/>
      <c r="C164" s="593" t="s">
        <v>1165</v>
      </c>
      <c r="D164" s="593"/>
      <c r="E164" s="594" t="s">
        <v>1169</v>
      </c>
      <c r="F164" s="594"/>
      <c r="G164" s="594"/>
      <c r="H164" s="402"/>
      <c r="I164" s="402"/>
      <c r="J164" s="393"/>
    </row>
    <row r="165" spans="1:10" ht="12.75" customHeight="1">
      <c r="A165" s="405"/>
      <c r="B165" s="405"/>
      <c r="C165" s="591" t="s">
        <v>741</v>
      </c>
      <c r="D165" s="591"/>
      <c r="E165" s="592" t="s">
        <v>1167</v>
      </c>
      <c r="F165" s="592"/>
      <c r="G165" s="592"/>
      <c r="H165" s="399"/>
      <c r="I165" s="399"/>
      <c r="J165" s="405"/>
    </row>
    <row r="166" spans="1:10" ht="9" customHeight="1">
      <c r="A166" s="405"/>
      <c r="B166" s="405"/>
      <c r="C166" s="406"/>
      <c r="D166" s="406"/>
      <c r="E166" s="405"/>
      <c r="F166" s="407"/>
      <c r="G166" s="407"/>
    </row>
    <row r="167" spans="1:10">
      <c r="A167" s="397" t="s">
        <v>1170</v>
      </c>
      <c r="B167" s="405"/>
      <c r="C167" s="593" t="s">
        <v>1165</v>
      </c>
      <c r="D167" s="593"/>
      <c r="E167" s="594" t="s">
        <v>1171</v>
      </c>
      <c r="F167" s="594"/>
      <c r="G167" s="594"/>
    </row>
    <row r="168" spans="1:10" ht="13.5" customHeight="1">
      <c r="A168" s="397"/>
      <c r="B168" s="405"/>
      <c r="C168" s="591" t="s">
        <v>741</v>
      </c>
      <c r="D168" s="591"/>
      <c r="E168" s="592" t="s">
        <v>1167</v>
      </c>
      <c r="F168" s="592"/>
      <c r="G168" s="592"/>
    </row>
    <row r="169" spans="1:10" ht="7.5" customHeight="1">
      <c r="A169" s="397"/>
      <c r="B169" s="405"/>
      <c r="C169" s="405"/>
      <c r="D169" s="405"/>
      <c r="E169" s="405"/>
      <c r="F169" s="408"/>
      <c r="G169" s="408"/>
    </row>
    <row r="170" spans="1:10">
      <c r="A170" s="397" t="s">
        <v>1172</v>
      </c>
      <c r="B170" s="405"/>
      <c r="C170" s="593" t="s">
        <v>1165</v>
      </c>
      <c r="D170" s="593"/>
      <c r="E170" s="594" t="s">
        <v>1173</v>
      </c>
      <c r="F170" s="594"/>
      <c r="G170" s="594"/>
    </row>
    <row r="171" spans="1:10" ht="17.25" customHeight="1">
      <c r="A171" s="405"/>
      <c r="B171" s="405"/>
      <c r="C171" s="591" t="s">
        <v>741</v>
      </c>
      <c r="D171" s="591"/>
      <c r="E171" s="592" t="s">
        <v>1167</v>
      </c>
      <c r="F171" s="592"/>
      <c r="G171" s="592"/>
    </row>
    <row r="175" spans="1:10" ht="18.75">
      <c r="E175" s="359" t="s">
        <v>337</v>
      </c>
      <c r="F175" s="481">
        <v>200.4</v>
      </c>
      <c r="G175" s="504">
        <v>68.7</v>
      </c>
      <c r="H175" s="504">
        <v>34</v>
      </c>
      <c r="I175" s="504">
        <v>58.7</v>
      </c>
      <c r="J175" s="504">
        <v>39</v>
      </c>
    </row>
  </sheetData>
  <mergeCells count="27">
    <mergeCell ref="A5:J5"/>
    <mergeCell ref="A40:J40"/>
    <mergeCell ref="A107:J107"/>
    <mergeCell ref="C161:D161"/>
    <mergeCell ref="A1:J1"/>
    <mergeCell ref="A3:A4"/>
    <mergeCell ref="B3:B4"/>
    <mergeCell ref="C3:C4"/>
    <mergeCell ref="D3:D4"/>
    <mergeCell ref="E3:E4"/>
    <mergeCell ref="F3:F4"/>
    <mergeCell ref="G3:J3"/>
    <mergeCell ref="C165:D165"/>
    <mergeCell ref="E161:G161"/>
    <mergeCell ref="E162:G162"/>
    <mergeCell ref="E164:G164"/>
    <mergeCell ref="E165:G165"/>
    <mergeCell ref="C162:D162"/>
    <mergeCell ref="C164:D164"/>
    <mergeCell ref="C171:D171"/>
    <mergeCell ref="E171:G171"/>
    <mergeCell ref="C167:D167"/>
    <mergeCell ref="E167:G167"/>
    <mergeCell ref="C168:D168"/>
    <mergeCell ref="E168:G168"/>
    <mergeCell ref="C170:D170"/>
    <mergeCell ref="E170:G170"/>
  </mergeCells>
  <phoneticPr fontId="3" type="noConversion"/>
  <pageMargins left="0.39370078740157483" right="0.19685039370078741" top="0.39370078740157483" bottom="0.19685039370078741" header="0.19685039370078741" footer="0.23622047244094491"/>
  <pageSetup paperSize="9" scale="6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221"/>
  <sheetViews>
    <sheetView view="pageBreakPreview" topLeftCell="A19" zoomScale="90" zoomScaleNormal="90" zoomScaleSheetLayoutView="90" workbookViewId="0">
      <selection activeCell="I29" sqref="I29"/>
    </sheetView>
  </sheetViews>
  <sheetFormatPr defaultRowHeight="18.75"/>
  <cols>
    <col min="1" max="1" width="43" style="2" customWidth="1"/>
    <col min="2" max="2" width="7.85546875" style="20" customWidth="1"/>
    <col min="3" max="3" width="10.7109375" style="20" customWidth="1"/>
    <col min="4" max="4" width="13.42578125" style="20" customWidth="1"/>
    <col min="5" max="5" width="12.140625" style="20" customWidth="1"/>
    <col min="6" max="6" width="12.7109375" style="2" customWidth="1"/>
    <col min="7" max="7" width="9.5703125" style="2" customWidth="1"/>
    <col min="8" max="8" width="11.7109375" style="2" customWidth="1"/>
    <col min="9" max="9" width="10.7109375" style="2" customWidth="1"/>
    <col min="10" max="10" width="9" style="2" customWidth="1"/>
    <col min="11" max="11" width="9.5703125" style="2" customWidth="1"/>
    <col min="12" max="12" width="9.85546875" style="2" customWidth="1"/>
    <col min="13" max="16384" width="9.140625" style="2"/>
  </cols>
  <sheetData>
    <row r="1" spans="1:17" ht="24.75" customHeight="1">
      <c r="A1" s="606" t="s">
        <v>849</v>
      </c>
      <c r="B1" s="606"/>
      <c r="C1" s="606"/>
      <c r="D1" s="606"/>
      <c r="E1" s="606"/>
      <c r="F1" s="606"/>
      <c r="G1" s="606"/>
      <c r="H1" s="606"/>
      <c r="I1" s="606"/>
      <c r="J1" s="606"/>
    </row>
    <row r="2" spans="1:17" ht="9.75" customHeight="1">
      <c r="A2" s="607"/>
      <c r="B2" s="607"/>
      <c r="C2" s="607"/>
      <c r="D2" s="607"/>
      <c r="E2" s="607"/>
      <c r="F2" s="607"/>
      <c r="G2" s="607"/>
      <c r="H2" s="607"/>
      <c r="I2" s="607"/>
      <c r="J2" s="607"/>
    </row>
    <row r="3" spans="1:17" ht="30" customHeight="1">
      <c r="A3" s="605" t="s">
        <v>873</v>
      </c>
      <c r="B3" s="558" t="s">
        <v>677</v>
      </c>
      <c r="C3" s="558" t="s">
        <v>690</v>
      </c>
      <c r="D3" s="558" t="s">
        <v>697</v>
      </c>
      <c r="E3" s="581" t="s">
        <v>812</v>
      </c>
      <c r="F3" s="558" t="s">
        <v>680</v>
      </c>
      <c r="G3" s="558" t="s">
        <v>823</v>
      </c>
      <c r="H3" s="558"/>
      <c r="I3" s="558"/>
      <c r="J3" s="558"/>
    </row>
    <row r="4" spans="1:17" ht="30" customHeight="1">
      <c r="A4" s="605"/>
      <c r="B4" s="558"/>
      <c r="C4" s="558"/>
      <c r="D4" s="558"/>
      <c r="E4" s="581"/>
      <c r="F4" s="558"/>
      <c r="G4" s="57" t="s">
        <v>824</v>
      </c>
      <c r="H4" s="57" t="s">
        <v>825</v>
      </c>
      <c r="I4" s="57" t="s">
        <v>826</v>
      </c>
      <c r="J4" s="57" t="s">
        <v>735</v>
      </c>
    </row>
    <row r="5" spans="1:17" ht="18" customHeight="1">
      <c r="A5" s="6">
        <v>1</v>
      </c>
      <c r="B5" s="110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7" s="5" customFormat="1" ht="32.25">
      <c r="A6" s="234" t="s">
        <v>255</v>
      </c>
      <c r="B6" s="212">
        <v>4000</v>
      </c>
      <c r="C6" s="231">
        <f>C7+C11+C30+C31+C33+C44</f>
        <v>8206</v>
      </c>
      <c r="D6" s="231">
        <f>D7+D11+D30+D31+D33+D44</f>
        <v>4506.8999999999996</v>
      </c>
      <c r="E6" s="231">
        <f>E7+E11+E30+E31+E33+E44</f>
        <v>6355.8</v>
      </c>
      <c r="F6" s="231">
        <f>SUM(G6:J6)</f>
        <v>8620</v>
      </c>
      <c r="G6" s="231">
        <f>G7+G11+G30+G31+G33+G44</f>
        <v>395</v>
      </c>
      <c r="H6" s="231">
        <f>H7+H11+H30+H31+H33+H44</f>
        <v>1210</v>
      </c>
      <c r="I6" s="231">
        <f>I7+I11+I30+I31+I33+I44</f>
        <v>6690</v>
      </c>
      <c r="J6" s="231">
        <f>J7+J11+J30+J31+J33+J44</f>
        <v>325</v>
      </c>
    </row>
    <row r="7" spans="1:17" ht="23.25" customHeight="1">
      <c r="A7" s="230" t="s">
        <v>959</v>
      </c>
      <c r="B7" s="210" t="s">
        <v>855</v>
      </c>
      <c r="C7" s="216">
        <f>SUM(C8:C9)</f>
        <v>0</v>
      </c>
      <c r="D7" s="216">
        <f>SUM(D8:D10)</f>
        <v>1476.9</v>
      </c>
      <c r="E7" s="216">
        <f>SUM(E8:E10)</f>
        <v>2030.2</v>
      </c>
      <c r="F7" s="232">
        <f>SUM(G7:J7)</f>
        <v>0</v>
      </c>
      <c r="G7" s="233">
        <f>SUM(G8:G10)</f>
        <v>0</v>
      </c>
      <c r="H7" s="233">
        <f>SUM(H8:H10)</f>
        <v>0</v>
      </c>
      <c r="I7" s="233">
        <f>SUM(I8:I10)</f>
        <v>0</v>
      </c>
      <c r="J7" s="233">
        <f>SUM(J8:J10)</f>
        <v>0</v>
      </c>
    </row>
    <row r="8" spans="1:17" ht="15.75" customHeight="1">
      <c r="A8" s="103" t="s">
        <v>1153</v>
      </c>
      <c r="B8" s="211" t="s">
        <v>1102</v>
      </c>
      <c r="C8" s="217"/>
      <c r="D8" s="219">
        <v>0</v>
      </c>
      <c r="E8" s="217">
        <v>279.7</v>
      </c>
      <c r="F8" s="232">
        <f t="shared" ref="F8:F55" si="0">SUM(G8:J8)</f>
        <v>0</v>
      </c>
      <c r="G8" s="219">
        <v>0</v>
      </c>
      <c r="H8" s="219">
        <v>0</v>
      </c>
      <c r="I8" s="219">
        <v>0</v>
      </c>
      <c r="J8" s="219">
        <v>0</v>
      </c>
    </row>
    <row r="9" spans="1:17" ht="15.75" customHeight="1">
      <c r="A9" s="103" t="s">
        <v>1149</v>
      </c>
      <c r="B9" s="211" t="s">
        <v>1103</v>
      </c>
      <c r="C9" s="217"/>
      <c r="D9" s="219">
        <v>0</v>
      </c>
      <c r="E9" s="217">
        <v>273.60000000000002</v>
      </c>
      <c r="F9" s="232">
        <f t="shared" si="0"/>
        <v>0</v>
      </c>
      <c r="G9" s="219">
        <v>0</v>
      </c>
      <c r="H9" s="219">
        <v>0</v>
      </c>
      <c r="I9" s="219">
        <v>0</v>
      </c>
      <c r="J9" s="219">
        <v>0</v>
      </c>
    </row>
    <row r="10" spans="1:17" ht="30">
      <c r="A10" s="495" t="s">
        <v>239</v>
      </c>
      <c r="B10" s="211" t="s">
        <v>238</v>
      </c>
      <c r="C10" s="217">
        <v>0</v>
      </c>
      <c r="D10" s="219">
        <v>1476.9</v>
      </c>
      <c r="E10" s="219">
        <v>1476.9</v>
      </c>
      <c r="F10" s="232">
        <f t="shared" si="0"/>
        <v>0</v>
      </c>
      <c r="G10" s="219">
        <v>0</v>
      </c>
      <c r="H10" s="219">
        <v>0</v>
      </c>
      <c r="I10" s="219">
        <v>0</v>
      </c>
      <c r="J10" s="219">
        <v>0</v>
      </c>
    </row>
    <row r="11" spans="1:17" ht="31.5">
      <c r="A11" s="230" t="s">
        <v>960</v>
      </c>
      <c r="B11" s="212">
        <v>4020</v>
      </c>
      <c r="C11" s="216">
        <f>SUM(C12:C23)</f>
        <v>6263</v>
      </c>
      <c r="D11" s="216">
        <f>SUM(D12:D23)</f>
        <v>410</v>
      </c>
      <c r="E11" s="216">
        <f>SUM(E12:E27)</f>
        <v>1676.9</v>
      </c>
      <c r="F11" s="231">
        <f t="shared" si="0"/>
        <v>2100</v>
      </c>
      <c r="G11" s="216">
        <f>SUM(G12:G28)</f>
        <v>30</v>
      </c>
      <c r="H11" s="216">
        <f>SUM(H12:H29)</f>
        <v>210</v>
      </c>
      <c r="I11" s="216">
        <f>SUM(I12:I29)</f>
        <v>1830</v>
      </c>
      <c r="J11" s="216">
        <f>SUM(J12:J29)</f>
        <v>30</v>
      </c>
      <c r="Q11" s="17"/>
    </row>
    <row r="12" spans="1:17" ht="16.5" customHeight="1">
      <c r="A12" s="103" t="s">
        <v>1104</v>
      </c>
      <c r="B12" s="209" t="s">
        <v>1105</v>
      </c>
      <c r="C12" s="208">
        <f>84+30-58.9</f>
        <v>55.1</v>
      </c>
      <c r="D12" s="218">
        <v>120</v>
      </c>
      <c r="E12" s="218">
        <v>120</v>
      </c>
      <c r="F12" s="232">
        <f t="shared" si="0"/>
        <v>80</v>
      </c>
      <c r="G12" s="218">
        <v>20</v>
      </c>
      <c r="H12" s="218">
        <v>20</v>
      </c>
      <c r="I12" s="218">
        <v>20</v>
      </c>
      <c r="J12" s="218">
        <v>20</v>
      </c>
      <c r="Q12" s="17"/>
    </row>
    <row r="13" spans="1:17" ht="16.5" customHeight="1">
      <c r="A13" s="103" t="s">
        <v>1106</v>
      </c>
      <c r="B13" s="209" t="s">
        <v>1107</v>
      </c>
      <c r="C13" s="208">
        <v>0</v>
      </c>
      <c r="D13" s="218">
        <v>80</v>
      </c>
      <c r="E13" s="218">
        <v>80</v>
      </c>
      <c r="F13" s="232">
        <f t="shared" si="0"/>
        <v>40</v>
      </c>
      <c r="G13" s="218">
        <v>10</v>
      </c>
      <c r="H13" s="218">
        <v>10</v>
      </c>
      <c r="I13" s="218">
        <v>10</v>
      </c>
      <c r="J13" s="218">
        <v>10</v>
      </c>
      <c r="Q13" s="17"/>
    </row>
    <row r="14" spans="1:17" ht="16.5" customHeight="1">
      <c r="A14" s="103" t="s">
        <v>1108</v>
      </c>
      <c r="B14" s="209" t="s">
        <v>1109</v>
      </c>
      <c r="C14" s="208">
        <f>12+14.6</f>
        <v>26.6</v>
      </c>
      <c r="D14" s="219">
        <v>0</v>
      </c>
      <c r="E14" s="219">
        <v>0</v>
      </c>
      <c r="F14" s="232">
        <f t="shared" si="0"/>
        <v>0</v>
      </c>
      <c r="G14" s="219">
        <v>0</v>
      </c>
      <c r="H14" s="219">
        <v>0</v>
      </c>
      <c r="I14" s="219">
        <v>0</v>
      </c>
      <c r="J14" s="219">
        <v>0</v>
      </c>
      <c r="Q14" s="17"/>
    </row>
    <row r="15" spans="1:17" ht="16.5" customHeight="1">
      <c r="A15" s="103" t="s">
        <v>1110</v>
      </c>
      <c r="B15" s="209" t="s">
        <v>1111</v>
      </c>
      <c r="C15" s="208">
        <v>0</v>
      </c>
      <c r="D15" s="219">
        <v>0</v>
      </c>
      <c r="E15" s="219">
        <v>0</v>
      </c>
      <c r="F15" s="232">
        <f t="shared" si="0"/>
        <v>0</v>
      </c>
      <c r="G15" s="219">
        <v>0</v>
      </c>
      <c r="H15" s="219">
        <v>0</v>
      </c>
      <c r="I15" s="219">
        <v>0</v>
      </c>
      <c r="J15" s="219">
        <v>0</v>
      </c>
      <c r="Q15" s="17"/>
    </row>
    <row r="16" spans="1:17" ht="16.5" customHeight="1">
      <c r="A16" s="103" t="s">
        <v>1112</v>
      </c>
      <c r="B16" s="209" t="s">
        <v>1113</v>
      </c>
      <c r="C16" s="208">
        <f>4.4+6.8+5+4.3+3.2+4.6+27.1</f>
        <v>55.4</v>
      </c>
      <c r="D16" s="219">
        <v>60</v>
      </c>
      <c r="E16" s="219">
        <v>60</v>
      </c>
      <c r="F16" s="232">
        <f t="shared" si="0"/>
        <v>80</v>
      </c>
      <c r="G16" s="219">
        <v>0</v>
      </c>
      <c r="H16" s="218">
        <v>80</v>
      </c>
      <c r="I16" s="219">
        <v>0</v>
      </c>
      <c r="J16" s="219">
        <v>0</v>
      </c>
      <c r="Q16" s="17"/>
    </row>
    <row r="17" spans="1:17" ht="16.5" customHeight="1">
      <c r="A17" s="103" t="s">
        <v>1114</v>
      </c>
      <c r="B17" s="209" t="s">
        <v>1115</v>
      </c>
      <c r="C17" s="208">
        <f>8.9+90.2+27.3</f>
        <v>126.4</v>
      </c>
      <c r="D17" s="219">
        <v>0</v>
      </c>
      <c r="E17" s="219">
        <v>0</v>
      </c>
      <c r="F17" s="232">
        <f t="shared" si="0"/>
        <v>0</v>
      </c>
      <c r="G17" s="219">
        <v>0</v>
      </c>
      <c r="H17" s="219">
        <v>0</v>
      </c>
      <c r="I17" s="219">
        <v>0</v>
      </c>
      <c r="J17" s="219">
        <v>0</v>
      </c>
      <c r="Q17" s="17"/>
    </row>
    <row r="18" spans="1:17" ht="16.5" customHeight="1">
      <c r="A18" s="103" t="s">
        <v>1116</v>
      </c>
      <c r="B18" s="209" t="s">
        <v>1117</v>
      </c>
      <c r="C18" s="208">
        <f>169+63.9+72.7</f>
        <v>305.60000000000002</v>
      </c>
      <c r="D18" s="219">
        <v>150</v>
      </c>
      <c r="E18" s="219">
        <v>850.7</v>
      </c>
      <c r="F18" s="232">
        <f t="shared" si="0"/>
        <v>0</v>
      </c>
      <c r="G18" s="219">
        <v>0</v>
      </c>
      <c r="H18" s="219">
        <v>0</v>
      </c>
      <c r="I18" s="219">
        <v>0</v>
      </c>
      <c r="J18" s="219">
        <v>0</v>
      </c>
      <c r="Q18" s="17"/>
    </row>
    <row r="19" spans="1:17" ht="16.5" customHeight="1">
      <c r="A19" s="103" t="s">
        <v>1118</v>
      </c>
      <c r="B19" s="209" t="s">
        <v>1119</v>
      </c>
      <c r="C19" s="208">
        <f>30+10.3+511.5+37.1+3460</f>
        <v>4048.9</v>
      </c>
      <c r="D19" s="219">
        <v>0</v>
      </c>
      <c r="E19" s="219">
        <v>0</v>
      </c>
      <c r="F19" s="232">
        <f t="shared" si="0"/>
        <v>0</v>
      </c>
      <c r="G19" s="219">
        <v>0</v>
      </c>
      <c r="H19" s="219">
        <v>0</v>
      </c>
      <c r="I19" s="219">
        <v>0</v>
      </c>
      <c r="J19" s="219">
        <v>0</v>
      </c>
      <c r="Q19" s="17"/>
    </row>
    <row r="20" spans="1:17" ht="16.5" customHeight="1">
      <c r="A20" s="103" t="s">
        <v>1120</v>
      </c>
      <c r="B20" s="209" t="s">
        <v>1121</v>
      </c>
      <c r="C20" s="208">
        <v>0</v>
      </c>
      <c r="D20" s="219">
        <v>0</v>
      </c>
      <c r="E20" s="219">
        <v>0</v>
      </c>
      <c r="F20" s="232">
        <f t="shared" si="0"/>
        <v>0</v>
      </c>
      <c r="G20" s="219">
        <v>0</v>
      </c>
      <c r="H20" s="219">
        <v>0</v>
      </c>
      <c r="I20" s="219">
        <v>0</v>
      </c>
      <c r="J20" s="219">
        <v>0</v>
      </c>
      <c r="Q20" s="17"/>
    </row>
    <row r="21" spans="1:17" ht="25.5" customHeight="1">
      <c r="A21" s="437" t="s">
        <v>1122</v>
      </c>
      <c r="B21" s="209" t="s">
        <v>1123</v>
      </c>
      <c r="C21" s="208">
        <f>179+37</f>
        <v>216</v>
      </c>
      <c r="D21" s="219">
        <v>0</v>
      </c>
      <c r="E21" s="219">
        <v>0</v>
      </c>
      <c r="F21" s="232">
        <f t="shared" si="0"/>
        <v>0</v>
      </c>
      <c r="G21" s="219">
        <v>0</v>
      </c>
      <c r="H21" s="219">
        <v>0</v>
      </c>
      <c r="I21" s="219">
        <v>0</v>
      </c>
      <c r="J21" s="219">
        <v>0</v>
      </c>
      <c r="Q21" s="17"/>
    </row>
    <row r="22" spans="1:17" ht="15.75" customHeight="1">
      <c r="A22" s="103" t="s">
        <v>1124</v>
      </c>
      <c r="B22" s="209" t="s">
        <v>1125</v>
      </c>
      <c r="C22" s="208">
        <v>9</v>
      </c>
      <c r="D22" s="219">
        <v>0</v>
      </c>
      <c r="E22" s="219">
        <v>0</v>
      </c>
      <c r="F22" s="232">
        <f t="shared" si="0"/>
        <v>0</v>
      </c>
      <c r="G22" s="219">
        <v>0</v>
      </c>
      <c r="H22" s="219">
        <v>0</v>
      </c>
      <c r="I22" s="219">
        <v>0</v>
      </c>
      <c r="J22" s="219">
        <v>0</v>
      </c>
      <c r="Q22" s="17"/>
    </row>
    <row r="23" spans="1:17" ht="15.75" customHeight="1">
      <c r="A23" s="103" t="s">
        <v>1126</v>
      </c>
      <c r="B23" s="209" t="s">
        <v>1127</v>
      </c>
      <c r="C23" s="208">
        <f>1275+145</f>
        <v>1420</v>
      </c>
      <c r="D23" s="219">
        <v>0</v>
      </c>
      <c r="E23" s="219">
        <v>0</v>
      </c>
      <c r="F23" s="232">
        <f t="shared" si="0"/>
        <v>0</v>
      </c>
      <c r="G23" s="219">
        <v>0</v>
      </c>
      <c r="H23" s="219">
        <v>0</v>
      </c>
      <c r="I23" s="219">
        <v>0</v>
      </c>
      <c r="J23" s="219">
        <v>0</v>
      </c>
      <c r="Q23" s="17"/>
    </row>
    <row r="24" spans="1:17" ht="15.75" customHeight="1">
      <c r="A24" s="103" t="s">
        <v>323</v>
      </c>
      <c r="B24" s="209" t="s">
        <v>325</v>
      </c>
      <c r="C24" s="208"/>
      <c r="D24" s="478"/>
      <c r="E24" s="219">
        <v>284.10000000000002</v>
      </c>
      <c r="F24" s="232">
        <f t="shared" ref="F24:F29" si="1">SUM(G24:J24)</f>
        <v>0</v>
      </c>
      <c r="G24" s="219">
        <v>0</v>
      </c>
      <c r="H24" s="219">
        <v>0</v>
      </c>
      <c r="I24" s="219">
        <v>0</v>
      </c>
      <c r="J24" s="219">
        <v>0</v>
      </c>
      <c r="Q24" s="17"/>
    </row>
    <row r="25" spans="1:17" ht="15.75" customHeight="1">
      <c r="A25" s="103" t="s">
        <v>327</v>
      </c>
      <c r="B25" s="209" t="s">
        <v>326</v>
      </c>
      <c r="C25" s="208"/>
      <c r="D25" s="478"/>
      <c r="E25" s="219">
        <v>24.3</v>
      </c>
      <c r="F25" s="232">
        <f t="shared" si="1"/>
        <v>0</v>
      </c>
      <c r="G25" s="219">
        <v>0</v>
      </c>
      <c r="H25" s="219">
        <v>0</v>
      </c>
      <c r="I25" s="219">
        <v>0</v>
      </c>
      <c r="J25" s="219">
        <v>0</v>
      </c>
      <c r="Q25" s="17"/>
    </row>
    <row r="26" spans="1:17" ht="15.75" customHeight="1">
      <c r="A26" s="103" t="s">
        <v>264</v>
      </c>
      <c r="B26" s="506" t="s">
        <v>328</v>
      </c>
      <c r="C26" s="507"/>
      <c r="D26" s="508"/>
      <c r="E26" s="509">
        <v>6.7</v>
      </c>
      <c r="F26" s="232">
        <f t="shared" si="1"/>
        <v>0</v>
      </c>
      <c r="G26" s="219">
        <v>0</v>
      </c>
      <c r="H26" s="219">
        <v>0</v>
      </c>
      <c r="I26" s="219">
        <v>0</v>
      </c>
      <c r="J26" s="219">
        <v>0</v>
      </c>
      <c r="Q26" s="17"/>
    </row>
    <row r="27" spans="1:17" ht="15.75" customHeight="1">
      <c r="A27" s="103" t="s">
        <v>324</v>
      </c>
      <c r="B27" s="209" t="s">
        <v>329</v>
      </c>
      <c r="C27" s="208"/>
      <c r="D27" s="511"/>
      <c r="E27" s="511">
        <v>251.1</v>
      </c>
      <c r="F27" s="505">
        <f t="shared" si="1"/>
        <v>0</v>
      </c>
      <c r="G27" s="219">
        <v>0</v>
      </c>
      <c r="H27" s="219">
        <v>0</v>
      </c>
      <c r="I27" s="219">
        <v>0</v>
      </c>
      <c r="J27" s="219">
        <v>0</v>
      </c>
      <c r="Q27" s="17"/>
    </row>
    <row r="28" spans="1:17" ht="27.75" customHeight="1">
      <c r="A28" s="495" t="s">
        <v>345</v>
      </c>
      <c r="B28" s="209" t="s">
        <v>340</v>
      </c>
      <c r="C28" s="208"/>
      <c r="D28" s="511"/>
      <c r="E28" s="511"/>
      <c r="F28" s="505">
        <f t="shared" si="1"/>
        <v>100</v>
      </c>
      <c r="G28" s="219">
        <v>0</v>
      </c>
      <c r="H28" s="219">
        <v>100</v>
      </c>
      <c r="I28" s="219">
        <v>0</v>
      </c>
      <c r="J28" s="219">
        <v>0</v>
      </c>
      <c r="Q28" s="17"/>
    </row>
    <row r="29" spans="1:17">
      <c r="A29" s="103" t="s">
        <v>355</v>
      </c>
      <c r="B29" s="209" t="s">
        <v>357</v>
      </c>
      <c r="C29" s="208"/>
      <c r="D29" s="511"/>
      <c r="E29" s="511"/>
      <c r="F29" s="505">
        <f t="shared" si="1"/>
        <v>1800</v>
      </c>
      <c r="G29" s="219">
        <v>0</v>
      </c>
      <c r="H29" s="219">
        <v>0</v>
      </c>
      <c r="I29" s="218">
        <v>1800</v>
      </c>
      <c r="J29" s="219">
        <v>0</v>
      </c>
      <c r="Q29" s="17"/>
    </row>
    <row r="30" spans="1:17" ht="33" customHeight="1">
      <c r="A30" s="458" t="s">
        <v>961</v>
      </c>
      <c r="B30" s="510">
        <v>4030</v>
      </c>
      <c r="C30" s="479">
        <v>0</v>
      </c>
      <c r="D30" s="479">
        <v>0</v>
      </c>
      <c r="E30" s="479">
        <v>0</v>
      </c>
      <c r="F30" s="232">
        <f t="shared" si="0"/>
        <v>0</v>
      </c>
      <c r="G30" s="233">
        <v>0</v>
      </c>
      <c r="H30" s="233">
        <v>0</v>
      </c>
      <c r="I30" s="233">
        <v>0</v>
      </c>
      <c r="J30" s="233">
        <v>0</v>
      </c>
      <c r="P30" s="17"/>
    </row>
    <row r="31" spans="1:17" ht="31.5">
      <c r="A31" s="230" t="s">
        <v>962</v>
      </c>
      <c r="B31" s="212">
        <v>4040</v>
      </c>
      <c r="C31" s="216">
        <f>C32</f>
        <v>219</v>
      </c>
      <c r="D31" s="216">
        <f>D32</f>
        <v>50</v>
      </c>
      <c r="E31" s="216">
        <f>E32</f>
        <v>50</v>
      </c>
      <c r="F31" s="232">
        <f t="shared" si="0"/>
        <v>50</v>
      </c>
      <c r="G31" s="216">
        <f>G32</f>
        <v>5</v>
      </c>
      <c r="H31" s="216">
        <f>H32</f>
        <v>10</v>
      </c>
      <c r="I31" s="216">
        <f>I32</f>
        <v>20</v>
      </c>
      <c r="J31" s="216">
        <f>J32</f>
        <v>15</v>
      </c>
    </row>
    <row r="32" spans="1:17">
      <c r="A32" s="103" t="s">
        <v>1128</v>
      </c>
      <c r="B32" s="209"/>
      <c r="C32" s="208">
        <f>177+42</f>
        <v>219</v>
      </c>
      <c r="D32" s="220">
        <v>50</v>
      </c>
      <c r="E32" s="220">
        <v>50</v>
      </c>
      <c r="F32" s="231">
        <f t="shared" si="0"/>
        <v>50</v>
      </c>
      <c r="G32" s="217">
        <v>5</v>
      </c>
      <c r="H32" s="217">
        <v>10</v>
      </c>
      <c r="I32" s="217">
        <v>20</v>
      </c>
      <c r="J32" s="217">
        <v>15</v>
      </c>
    </row>
    <row r="33" spans="1:10" ht="51" customHeight="1">
      <c r="A33" s="230" t="s">
        <v>963</v>
      </c>
      <c r="B33" s="210">
        <v>4050</v>
      </c>
      <c r="C33" s="216">
        <f>SUM(C34:C41)</f>
        <v>89.800000000000026</v>
      </c>
      <c r="D33" s="216">
        <f>SUM(D34:D41)</f>
        <v>0</v>
      </c>
      <c r="E33" s="216">
        <f>SUM(E34:E42)</f>
        <v>0</v>
      </c>
      <c r="F33" s="232">
        <f t="shared" si="0"/>
        <v>3000</v>
      </c>
      <c r="G33" s="233">
        <f>SUM(G34:G43)</f>
        <v>0</v>
      </c>
      <c r="H33" s="233">
        <f>SUM(H34:H43)</f>
        <v>0</v>
      </c>
      <c r="I33" s="233">
        <f>SUM(I34:I43)</f>
        <v>3000</v>
      </c>
      <c r="J33" s="233">
        <f>SUM(J34:J43)</f>
        <v>0</v>
      </c>
    </row>
    <row r="34" spans="1:10" s="487" customFormat="1" ht="12.75">
      <c r="A34" s="437" t="s">
        <v>1129</v>
      </c>
      <c r="B34" s="528" t="s">
        <v>1130</v>
      </c>
      <c r="C34" s="529">
        <v>0</v>
      </c>
      <c r="D34" s="530">
        <v>0</v>
      </c>
      <c r="E34" s="530">
        <v>0</v>
      </c>
      <c r="F34" s="531">
        <f t="shared" si="0"/>
        <v>0</v>
      </c>
      <c r="G34" s="532">
        <v>0</v>
      </c>
      <c r="H34" s="532">
        <v>0</v>
      </c>
      <c r="I34" s="532">
        <v>0</v>
      </c>
      <c r="J34" s="532">
        <v>0</v>
      </c>
    </row>
    <row r="35" spans="1:10">
      <c r="A35" s="103" t="s">
        <v>1131</v>
      </c>
      <c r="B35" s="211" t="s">
        <v>1132</v>
      </c>
      <c r="C35" s="208">
        <v>-9.8000000000000007</v>
      </c>
      <c r="D35" s="220">
        <v>0</v>
      </c>
      <c r="E35" s="220">
        <v>0</v>
      </c>
      <c r="F35" s="232">
        <f t="shared" si="0"/>
        <v>0</v>
      </c>
      <c r="G35" s="219">
        <v>0</v>
      </c>
      <c r="H35" s="219">
        <v>0</v>
      </c>
      <c r="I35" s="219">
        <v>0</v>
      </c>
      <c r="J35" s="219">
        <v>0</v>
      </c>
    </row>
    <row r="36" spans="1:10" s="352" customFormat="1" ht="18" customHeight="1">
      <c r="A36" s="495" t="s">
        <v>1133</v>
      </c>
      <c r="B36" s="211" t="s">
        <v>1134</v>
      </c>
      <c r="C36" s="524">
        <v>0</v>
      </c>
      <c r="D36" s="525">
        <v>0</v>
      </c>
      <c r="E36" s="525">
        <v>0</v>
      </c>
      <c r="F36" s="526">
        <f t="shared" si="0"/>
        <v>0</v>
      </c>
      <c r="G36" s="527">
        <v>0</v>
      </c>
      <c r="H36" s="527">
        <v>0</v>
      </c>
      <c r="I36" s="527">
        <v>0</v>
      </c>
      <c r="J36" s="527">
        <v>0</v>
      </c>
    </row>
    <row r="37" spans="1:10" ht="18" customHeight="1">
      <c r="A37" s="103" t="s">
        <v>252</v>
      </c>
      <c r="B37" s="211" t="s">
        <v>1135</v>
      </c>
      <c r="C37" s="208">
        <v>40</v>
      </c>
      <c r="D37" s="220">
        <v>0</v>
      </c>
      <c r="E37" s="220">
        <v>0</v>
      </c>
      <c r="F37" s="232">
        <f t="shared" si="0"/>
        <v>0</v>
      </c>
      <c r="G37" s="219">
        <v>0</v>
      </c>
      <c r="H37" s="219">
        <v>0</v>
      </c>
      <c r="I37" s="219">
        <v>0</v>
      </c>
      <c r="J37" s="219">
        <v>0</v>
      </c>
    </row>
    <row r="38" spans="1:10" ht="18" customHeight="1">
      <c r="A38" s="103" t="s">
        <v>1136</v>
      </c>
      <c r="B38" s="211" t="s">
        <v>1137</v>
      </c>
      <c r="C38" s="208">
        <v>21.5</v>
      </c>
      <c r="D38" s="220">
        <v>0</v>
      </c>
      <c r="E38" s="220">
        <v>0</v>
      </c>
      <c r="F38" s="232">
        <f t="shared" si="0"/>
        <v>0</v>
      </c>
      <c r="G38" s="219">
        <v>0</v>
      </c>
      <c r="H38" s="219">
        <v>0</v>
      </c>
      <c r="I38" s="219">
        <v>0</v>
      </c>
      <c r="J38" s="219">
        <v>0</v>
      </c>
    </row>
    <row r="39" spans="1:10" ht="18" customHeight="1">
      <c r="A39" s="103" t="s">
        <v>306</v>
      </c>
      <c r="B39" s="211" t="s">
        <v>1138</v>
      </c>
      <c r="C39" s="208">
        <f>336.1-298</f>
        <v>38.100000000000023</v>
      </c>
      <c r="D39" s="220">
        <v>0</v>
      </c>
      <c r="E39" s="220">
        <v>0</v>
      </c>
      <c r="F39" s="232">
        <f t="shared" si="0"/>
        <v>0</v>
      </c>
      <c r="G39" s="219">
        <v>0</v>
      </c>
      <c r="H39" s="219">
        <v>0</v>
      </c>
      <c r="I39" s="219">
        <v>0</v>
      </c>
      <c r="J39" s="219">
        <v>0</v>
      </c>
    </row>
    <row r="40" spans="1:10" hidden="1">
      <c r="A40" s="103" t="s">
        <v>1139</v>
      </c>
      <c r="B40" s="211" t="s">
        <v>1140</v>
      </c>
      <c r="C40" s="208">
        <v>0</v>
      </c>
      <c r="D40" s="220">
        <v>0</v>
      </c>
      <c r="E40" s="220">
        <v>0</v>
      </c>
      <c r="F40" s="232">
        <f>SUM(G40:J40)</f>
        <v>0</v>
      </c>
      <c r="G40" s="219">
        <v>0</v>
      </c>
      <c r="H40" s="219">
        <v>0</v>
      </c>
      <c r="I40" s="219">
        <v>0</v>
      </c>
      <c r="J40" s="219">
        <v>0</v>
      </c>
    </row>
    <row r="41" spans="1:10" ht="23.25" hidden="1" customHeight="1">
      <c r="A41" s="103" t="s">
        <v>254</v>
      </c>
      <c r="B41" s="211" t="s">
        <v>1142</v>
      </c>
      <c r="C41" s="208">
        <v>0</v>
      </c>
      <c r="D41" s="220">
        <v>0</v>
      </c>
      <c r="E41" s="220">
        <v>0</v>
      </c>
      <c r="F41" s="232">
        <f>SUM(G41:J41)</f>
        <v>0</v>
      </c>
      <c r="G41" s="219">
        <v>0</v>
      </c>
      <c r="H41" s="219">
        <v>0</v>
      </c>
      <c r="I41" s="219">
        <v>0</v>
      </c>
      <c r="J41" s="219">
        <v>0</v>
      </c>
    </row>
    <row r="42" spans="1:10" ht="28.5" hidden="1">
      <c r="A42" s="103" t="s">
        <v>253</v>
      </c>
      <c r="B42" s="211" t="s">
        <v>1163</v>
      </c>
      <c r="C42" s="92"/>
      <c r="D42" s="220">
        <v>0</v>
      </c>
      <c r="E42" s="220">
        <v>0</v>
      </c>
      <c r="F42" s="232">
        <f>SUM(G42:J42)</f>
        <v>0</v>
      </c>
      <c r="G42" s="219">
        <v>0</v>
      </c>
      <c r="H42" s="219">
        <v>0</v>
      </c>
      <c r="I42" s="219">
        <v>0</v>
      </c>
      <c r="J42" s="219">
        <v>0</v>
      </c>
    </row>
    <row r="43" spans="1:10" ht="48.75">
      <c r="A43" s="437" t="s">
        <v>358</v>
      </c>
      <c r="B43" s="211" t="s">
        <v>1140</v>
      </c>
      <c r="C43" s="92"/>
      <c r="D43" s="220">
        <v>0</v>
      </c>
      <c r="E43" s="220">
        <v>0</v>
      </c>
      <c r="F43" s="232">
        <f>SUM(G43:J43)</f>
        <v>3000</v>
      </c>
      <c r="G43" s="219">
        <v>0</v>
      </c>
      <c r="H43" s="219">
        <v>0</v>
      </c>
      <c r="I43" s="218">
        <v>3000</v>
      </c>
      <c r="J43" s="219">
        <v>0</v>
      </c>
    </row>
    <row r="44" spans="1:10">
      <c r="A44" s="230" t="s">
        <v>1143</v>
      </c>
      <c r="B44" s="214">
        <v>4060</v>
      </c>
      <c r="C44" s="216">
        <f>SUM(C45:C55)</f>
        <v>1634.2000000000003</v>
      </c>
      <c r="D44" s="216">
        <f>SUM(D45:D55)</f>
        <v>2570</v>
      </c>
      <c r="E44" s="216">
        <f>SUM(E45:E55)</f>
        <v>2598.6999999999998</v>
      </c>
      <c r="F44" s="231">
        <f t="shared" si="0"/>
        <v>3470</v>
      </c>
      <c r="G44" s="216">
        <f>SUM(G45:G55)</f>
        <v>360</v>
      </c>
      <c r="H44" s="216">
        <f>SUM(H45:H55)</f>
        <v>990</v>
      </c>
      <c r="I44" s="216">
        <f>SUM(I45:I55)</f>
        <v>1840</v>
      </c>
      <c r="J44" s="216">
        <f>SUM(J45:J55)</f>
        <v>280</v>
      </c>
    </row>
    <row r="45" spans="1:10" s="352" customFormat="1" ht="16.5" customHeight="1">
      <c r="A45" s="495" t="s">
        <v>1126</v>
      </c>
      <c r="B45" s="213" t="s">
        <v>1144</v>
      </c>
      <c r="C45" s="524">
        <v>75.099999999999994</v>
      </c>
      <c r="D45" s="533">
        <v>150</v>
      </c>
      <c r="E45" s="534">
        <v>150</v>
      </c>
      <c r="F45" s="535">
        <f t="shared" si="0"/>
        <v>150</v>
      </c>
      <c r="G45" s="536">
        <v>0</v>
      </c>
      <c r="H45" s="536">
        <v>100</v>
      </c>
      <c r="I45" s="536">
        <v>50</v>
      </c>
      <c r="J45" s="536">
        <v>0</v>
      </c>
    </row>
    <row r="46" spans="1:10" s="352" customFormat="1" ht="16.5" customHeight="1">
      <c r="A46" s="495" t="s">
        <v>1145</v>
      </c>
      <c r="B46" s="213" t="s">
        <v>1146</v>
      </c>
      <c r="C46" s="524">
        <f>26.3+26.7</f>
        <v>53</v>
      </c>
      <c r="D46" s="533">
        <v>140</v>
      </c>
      <c r="E46" s="534">
        <v>140</v>
      </c>
      <c r="F46" s="535">
        <f t="shared" si="0"/>
        <v>140</v>
      </c>
      <c r="G46" s="536">
        <v>0</v>
      </c>
      <c r="H46" s="536">
        <v>70</v>
      </c>
      <c r="I46" s="536">
        <v>70</v>
      </c>
      <c r="J46" s="536">
        <v>0</v>
      </c>
    </row>
    <row r="47" spans="1:10" s="352" customFormat="1" ht="16.5" customHeight="1">
      <c r="A47" s="495" t="s">
        <v>1147</v>
      </c>
      <c r="B47" s="213" t="s">
        <v>1148</v>
      </c>
      <c r="C47" s="524">
        <v>51</v>
      </c>
      <c r="D47" s="533">
        <v>320</v>
      </c>
      <c r="E47" s="534">
        <v>320</v>
      </c>
      <c r="F47" s="535">
        <f t="shared" si="0"/>
        <v>420</v>
      </c>
      <c r="G47" s="536">
        <v>0</v>
      </c>
      <c r="H47" s="536">
        <v>200</v>
      </c>
      <c r="I47" s="536">
        <v>220</v>
      </c>
      <c r="J47" s="536">
        <v>0</v>
      </c>
    </row>
    <row r="48" spans="1:10" s="352" customFormat="1" ht="16.5" customHeight="1">
      <c r="A48" s="495" t="s">
        <v>1149</v>
      </c>
      <c r="B48" s="213" t="s">
        <v>1150</v>
      </c>
      <c r="C48" s="524">
        <f>344.8+33.4+82.9</f>
        <v>461.1</v>
      </c>
      <c r="D48" s="533">
        <v>210</v>
      </c>
      <c r="E48" s="534">
        <v>210</v>
      </c>
      <c r="F48" s="535">
        <f t="shared" si="0"/>
        <v>210</v>
      </c>
      <c r="G48" s="536">
        <v>60</v>
      </c>
      <c r="H48" s="536">
        <v>70</v>
      </c>
      <c r="I48" s="536">
        <v>80</v>
      </c>
      <c r="J48" s="536">
        <v>0</v>
      </c>
    </row>
    <row r="49" spans="1:11" s="352" customFormat="1" ht="16.5" customHeight="1">
      <c r="A49" s="495" t="s">
        <v>1151</v>
      </c>
      <c r="B49" s="213" t="s">
        <v>1152</v>
      </c>
      <c r="C49" s="524">
        <f>508.5+66.9+22.3</f>
        <v>597.69999999999993</v>
      </c>
      <c r="D49" s="533">
        <v>350</v>
      </c>
      <c r="E49" s="534">
        <v>350</v>
      </c>
      <c r="F49" s="535">
        <f t="shared" si="0"/>
        <v>750</v>
      </c>
      <c r="G49" s="536">
        <v>200</v>
      </c>
      <c r="H49" s="536">
        <v>200</v>
      </c>
      <c r="I49" s="536">
        <v>200</v>
      </c>
      <c r="J49" s="536">
        <v>150</v>
      </c>
    </row>
    <row r="50" spans="1:11" s="352" customFormat="1" ht="16.5" customHeight="1">
      <c r="A50" s="495" t="s">
        <v>1153</v>
      </c>
      <c r="B50" s="213" t="s">
        <v>1154</v>
      </c>
      <c r="C50" s="524">
        <f>203.2+11.9-82.9</f>
        <v>132.19999999999999</v>
      </c>
      <c r="D50" s="533">
        <v>730</v>
      </c>
      <c r="E50" s="534">
        <v>730</v>
      </c>
      <c r="F50" s="535">
        <f t="shared" si="0"/>
        <v>730</v>
      </c>
      <c r="G50" s="536">
        <v>100</v>
      </c>
      <c r="H50" s="536">
        <v>250</v>
      </c>
      <c r="I50" s="536">
        <v>250</v>
      </c>
      <c r="J50" s="536">
        <v>130</v>
      </c>
    </row>
    <row r="51" spans="1:11" s="352" customFormat="1" ht="16.5" customHeight="1">
      <c r="A51" s="495" t="s">
        <v>1155</v>
      </c>
      <c r="B51" s="213" t="s">
        <v>1156</v>
      </c>
      <c r="C51" s="524">
        <v>28.9</v>
      </c>
      <c r="D51" s="533">
        <v>500</v>
      </c>
      <c r="E51" s="534">
        <v>500</v>
      </c>
      <c r="F51" s="535">
        <f t="shared" si="0"/>
        <v>900</v>
      </c>
      <c r="G51" s="536">
        <v>0</v>
      </c>
      <c r="H51" s="536">
        <v>0</v>
      </c>
      <c r="I51" s="536">
        <v>900</v>
      </c>
      <c r="J51" s="536">
        <v>0</v>
      </c>
    </row>
    <row r="52" spans="1:11" s="352" customFormat="1" ht="16.5" customHeight="1">
      <c r="A52" s="495" t="s">
        <v>1157</v>
      </c>
      <c r="B52" s="213" t="s">
        <v>1158</v>
      </c>
      <c r="C52" s="524">
        <f>87.9+69.1+78.2</f>
        <v>235.2</v>
      </c>
      <c r="D52" s="533">
        <v>0</v>
      </c>
      <c r="E52" s="533">
        <v>0</v>
      </c>
      <c r="F52" s="526">
        <f t="shared" si="0"/>
        <v>0</v>
      </c>
      <c r="G52" s="536">
        <v>0</v>
      </c>
      <c r="H52" s="536">
        <v>0</v>
      </c>
      <c r="I52" s="536">
        <v>0</v>
      </c>
      <c r="J52" s="536">
        <v>0</v>
      </c>
    </row>
    <row r="53" spans="1:11" s="352" customFormat="1" ht="16.5" customHeight="1">
      <c r="A53" s="495" t="s">
        <v>1159</v>
      </c>
      <c r="B53" s="211" t="s">
        <v>1160</v>
      </c>
      <c r="C53" s="524">
        <v>0</v>
      </c>
      <c r="D53" s="533">
        <v>170</v>
      </c>
      <c r="E53" s="534">
        <v>170</v>
      </c>
      <c r="F53" s="535">
        <f t="shared" si="0"/>
        <v>170</v>
      </c>
      <c r="G53" s="536">
        <v>0</v>
      </c>
      <c r="H53" s="536">
        <v>100</v>
      </c>
      <c r="I53" s="536">
        <v>70</v>
      </c>
      <c r="J53" s="536">
        <v>0</v>
      </c>
    </row>
    <row r="54" spans="1:11" s="352" customFormat="1" ht="16.5" customHeight="1">
      <c r="A54" s="495" t="s">
        <v>331</v>
      </c>
      <c r="B54" s="211" t="s">
        <v>1162</v>
      </c>
      <c r="C54" s="524"/>
      <c r="D54" s="533"/>
      <c r="E54" s="534">
        <v>28.7</v>
      </c>
      <c r="F54" s="535">
        <f>SUM(G54:J54)</f>
        <v>0</v>
      </c>
      <c r="G54" s="536">
        <v>0</v>
      </c>
      <c r="H54" s="536">
        <v>0</v>
      </c>
      <c r="I54" s="536">
        <v>0</v>
      </c>
      <c r="J54" s="536">
        <v>0</v>
      </c>
    </row>
    <row r="55" spans="1:11" s="1" customFormat="1" ht="18.75" hidden="1" customHeight="1">
      <c r="A55" s="103" t="s">
        <v>1161</v>
      </c>
      <c r="B55" s="211" t="s">
        <v>330</v>
      </c>
      <c r="C55" s="208">
        <v>0</v>
      </c>
      <c r="D55" s="218">
        <v>0</v>
      </c>
      <c r="E55" s="477">
        <v>0</v>
      </c>
      <c r="F55" s="232">
        <f t="shared" si="0"/>
        <v>0</v>
      </c>
      <c r="G55" s="218">
        <v>0</v>
      </c>
      <c r="H55" s="218">
        <v>0</v>
      </c>
      <c r="I55" s="218">
        <v>0</v>
      </c>
      <c r="J55" s="218">
        <v>0</v>
      </c>
      <c r="K55" s="2"/>
    </row>
    <row r="56" spans="1:11" s="1" customFormat="1" ht="9" customHeight="1">
      <c r="A56" s="201"/>
      <c r="B56" s="215"/>
      <c r="C56" s="2"/>
      <c r="D56" s="2"/>
      <c r="E56" s="2"/>
      <c r="F56" s="2"/>
      <c r="G56" s="2"/>
      <c r="H56" s="2"/>
      <c r="I56" s="2"/>
      <c r="J56" s="2"/>
      <c r="K56" s="2"/>
    </row>
    <row r="57" spans="1:11" s="228" customFormat="1" ht="16.5" customHeight="1">
      <c r="A57" s="206" t="s">
        <v>1164</v>
      </c>
      <c r="B57" s="227"/>
      <c r="C57" s="582" t="s">
        <v>1165</v>
      </c>
      <c r="D57" s="582"/>
      <c r="E57" s="583" t="s">
        <v>317</v>
      </c>
      <c r="F57" s="583"/>
      <c r="G57" s="583"/>
      <c r="H57" s="603"/>
      <c r="I57" s="603"/>
      <c r="J57" s="603"/>
    </row>
    <row r="58" spans="1:11" s="1" customFormat="1" ht="15" customHeight="1">
      <c r="A58" s="132" t="s">
        <v>1166</v>
      </c>
      <c r="B58" s="133"/>
      <c r="C58" s="574" t="s">
        <v>741</v>
      </c>
      <c r="D58" s="574"/>
      <c r="E58" s="571" t="s">
        <v>1167</v>
      </c>
      <c r="F58" s="571"/>
      <c r="G58" s="571"/>
      <c r="H58" s="604"/>
      <c r="I58" s="604"/>
      <c r="J58" s="604"/>
    </row>
    <row r="59" spans="1:11" s="228" customFormat="1" ht="15.75">
      <c r="A59" s="206" t="s">
        <v>1168</v>
      </c>
      <c r="B59" s="229"/>
      <c r="C59" s="582" t="s">
        <v>1165</v>
      </c>
      <c r="D59" s="582"/>
      <c r="E59" s="583" t="s">
        <v>1169</v>
      </c>
      <c r="F59" s="583"/>
      <c r="G59" s="583"/>
    </row>
    <row r="60" spans="1:11" ht="13.5" customHeight="1">
      <c r="A60"/>
      <c r="B60"/>
      <c r="C60" s="574" t="s">
        <v>741</v>
      </c>
      <c r="D60" s="574"/>
      <c r="E60" s="571" t="s">
        <v>1167</v>
      </c>
      <c r="F60" s="571"/>
      <c r="G60" s="571"/>
    </row>
    <row r="61" spans="1:11" s="228" customFormat="1" ht="15.75">
      <c r="A61" s="206" t="s">
        <v>1170</v>
      </c>
      <c r="B61" s="229"/>
      <c r="C61" s="582" t="s">
        <v>1165</v>
      </c>
      <c r="D61" s="582"/>
      <c r="E61" s="583" t="s">
        <v>1171</v>
      </c>
      <c r="F61" s="583"/>
      <c r="G61" s="583"/>
    </row>
    <row r="62" spans="1:11" ht="11.25" customHeight="1">
      <c r="A62" s="221"/>
      <c r="B62"/>
      <c r="C62" s="574" t="s">
        <v>741</v>
      </c>
      <c r="D62" s="574"/>
      <c r="E62" s="571" t="s">
        <v>1167</v>
      </c>
      <c r="F62" s="571"/>
      <c r="G62" s="571"/>
    </row>
    <row r="63" spans="1:11" s="228" customFormat="1" ht="15.75">
      <c r="A63" s="206" t="s">
        <v>1172</v>
      </c>
      <c r="B63" s="229"/>
      <c r="C63" s="582" t="s">
        <v>1165</v>
      </c>
      <c r="D63" s="582"/>
      <c r="E63" s="583" t="s">
        <v>1173</v>
      </c>
      <c r="F63" s="583"/>
      <c r="G63" s="583"/>
    </row>
    <row r="64" spans="1:11" ht="14.25" customHeight="1">
      <c r="A64"/>
      <c r="B64"/>
      <c r="C64" s="574" t="s">
        <v>741</v>
      </c>
      <c r="D64" s="574"/>
      <c r="E64" s="571" t="s">
        <v>1167</v>
      </c>
      <c r="F64" s="571"/>
      <c r="G64" s="571"/>
    </row>
    <row r="65" spans="1:1">
      <c r="A65" s="46"/>
    </row>
    <row r="66" spans="1:1">
      <c r="A66" s="46"/>
    </row>
    <row r="67" spans="1:1">
      <c r="A67" s="46"/>
    </row>
    <row r="68" spans="1:1">
      <c r="A68" s="46"/>
    </row>
    <row r="69" spans="1:1">
      <c r="A69" s="46"/>
    </row>
    <row r="70" spans="1:1">
      <c r="A70" s="46"/>
    </row>
    <row r="71" spans="1:1">
      <c r="A71" s="46"/>
    </row>
    <row r="72" spans="1:1">
      <c r="A72" s="46"/>
    </row>
    <row r="73" spans="1:1">
      <c r="A73" s="46"/>
    </row>
    <row r="74" spans="1:1">
      <c r="A74" s="46"/>
    </row>
    <row r="75" spans="1:1">
      <c r="A75" s="46"/>
    </row>
    <row r="76" spans="1:1">
      <c r="A76" s="46"/>
    </row>
    <row r="77" spans="1:1">
      <c r="A77" s="46"/>
    </row>
    <row r="78" spans="1:1">
      <c r="A78" s="46"/>
    </row>
    <row r="79" spans="1:1">
      <c r="A79" s="46"/>
    </row>
    <row r="80" spans="1:1">
      <c r="A80" s="46"/>
    </row>
    <row r="81" spans="1:1">
      <c r="A81" s="46"/>
    </row>
    <row r="82" spans="1:1">
      <c r="A82" s="46"/>
    </row>
    <row r="83" spans="1:1">
      <c r="A83" s="46"/>
    </row>
    <row r="84" spans="1:1">
      <c r="A84" s="46"/>
    </row>
    <row r="85" spans="1:1">
      <c r="A85" s="46"/>
    </row>
    <row r="86" spans="1:1">
      <c r="A86" s="46"/>
    </row>
    <row r="87" spans="1:1">
      <c r="A87" s="46"/>
    </row>
    <row r="88" spans="1:1">
      <c r="A88" s="46"/>
    </row>
    <row r="89" spans="1:1">
      <c r="A89" s="46"/>
    </row>
    <row r="90" spans="1:1">
      <c r="A90" s="46"/>
    </row>
    <row r="91" spans="1:1">
      <c r="A91" s="46"/>
    </row>
    <row r="92" spans="1:1">
      <c r="A92" s="46"/>
    </row>
    <row r="93" spans="1:1">
      <c r="A93" s="46"/>
    </row>
    <row r="94" spans="1:1">
      <c r="A94" s="46"/>
    </row>
    <row r="95" spans="1:1">
      <c r="A95" s="46"/>
    </row>
    <row r="96" spans="1:1">
      <c r="A96" s="46"/>
    </row>
    <row r="97" spans="1:1">
      <c r="A97" s="46"/>
    </row>
    <row r="98" spans="1:1">
      <c r="A98" s="46"/>
    </row>
    <row r="99" spans="1:1">
      <c r="A99" s="46"/>
    </row>
    <row r="100" spans="1:1">
      <c r="A100" s="46"/>
    </row>
    <row r="101" spans="1:1">
      <c r="A101" s="46"/>
    </row>
    <row r="102" spans="1:1">
      <c r="A102" s="46"/>
    </row>
    <row r="103" spans="1:1">
      <c r="A103" s="46"/>
    </row>
    <row r="104" spans="1:1">
      <c r="A104" s="46"/>
    </row>
    <row r="105" spans="1:1">
      <c r="A105" s="46"/>
    </row>
    <row r="106" spans="1:1">
      <c r="A106" s="46"/>
    </row>
    <row r="107" spans="1:1">
      <c r="A107" s="46"/>
    </row>
    <row r="108" spans="1:1">
      <c r="A108" s="46"/>
    </row>
    <row r="109" spans="1:1">
      <c r="A109" s="46"/>
    </row>
    <row r="110" spans="1:1">
      <c r="A110" s="46"/>
    </row>
    <row r="111" spans="1:1">
      <c r="A111" s="46"/>
    </row>
    <row r="112" spans="1:1">
      <c r="A112" s="46"/>
    </row>
    <row r="113" spans="1:1">
      <c r="A113" s="46"/>
    </row>
    <row r="114" spans="1:1">
      <c r="A114" s="46"/>
    </row>
    <row r="115" spans="1:1">
      <c r="A115" s="46"/>
    </row>
    <row r="116" spans="1:1">
      <c r="A116" s="46"/>
    </row>
    <row r="117" spans="1:1">
      <c r="A117" s="46"/>
    </row>
    <row r="118" spans="1:1">
      <c r="A118" s="46"/>
    </row>
    <row r="119" spans="1:1">
      <c r="A119" s="46"/>
    </row>
    <row r="120" spans="1:1">
      <c r="A120" s="46"/>
    </row>
    <row r="121" spans="1:1">
      <c r="A121" s="46"/>
    </row>
    <row r="122" spans="1:1">
      <c r="A122" s="46"/>
    </row>
    <row r="123" spans="1:1">
      <c r="A123" s="46"/>
    </row>
    <row r="124" spans="1:1">
      <c r="A124" s="46"/>
    </row>
    <row r="125" spans="1:1">
      <c r="A125" s="46"/>
    </row>
    <row r="126" spans="1:1">
      <c r="A126" s="46"/>
    </row>
    <row r="127" spans="1:1">
      <c r="A127" s="46"/>
    </row>
    <row r="128" spans="1:1">
      <c r="A128" s="46"/>
    </row>
    <row r="129" spans="1:1">
      <c r="A129" s="46"/>
    </row>
    <row r="130" spans="1:1">
      <c r="A130" s="46"/>
    </row>
    <row r="131" spans="1:1">
      <c r="A131" s="46"/>
    </row>
    <row r="132" spans="1:1">
      <c r="A132" s="46"/>
    </row>
    <row r="133" spans="1:1">
      <c r="A133" s="46"/>
    </row>
    <row r="134" spans="1:1">
      <c r="A134" s="46"/>
    </row>
    <row r="135" spans="1:1">
      <c r="A135" s="46"/>
    </row>
    <row r="136" spans="1:1">
      <c r="A136" s="46"/>
    </row>
    <row r="137" spans="1:1">
      <c r="A137" s="46"/>
    </row>
    <row r="138" spans="1:1">
      <c r="A138" s="46"/>
    </row>
    <row r="139" spans="1:1">
      <c r="A139" s="46"/>
    </row>
    <row r="140" spans="1:1">
      <c r="A140" s="46"/>
    </row>
    <row r="141" spans="1:1">
      <c r="A141" s="46"/>
    </row>
    <row r="142" spans="1:1">
      <c r="A142" s="46"/>
    </row>
    <row r="143" spans="1:1">
      <c r="A143" s="46"/>
    </row>
    <row r="144" spans="1:1">
      <c r="A144" s="46"/>
    </row>
    <row r="145" spans="1:1">
      <c r="A145" s="46"/>
    </row>
    <row r="146" spans="1:1">
      <c r="A146" s="46"/>
    </row>
    <row r="147" spans="1:1">
      <c r="A147" s="46"/>
    </row>
    <row r="148" spans="1:1">
      <c r="A148" s="46"/>
    </row>
    <row r="149" spans="1:1">
      <c r="A149" s="46"/>
    </row>
    <row r="150" spans="1:1">
      <c r="A150" s="46"/>
    </row>
    <row r="151" spans="1:1">
      <c r="A151" s="46"/>
    </row>
    <row r="152" spans="1:1">
      <c r="A152" s="46"/>
    </row>
    <row r="153" spans="1:1">
      <c r="A153" s="46"/>
    </row>
    <row r="154" spans="1:1">
      <c r="A154" s="46"/>
    </row>
    <row r="155" spans="1:1">
      <c r="A155" s="46"/>
    </row>
    <row r="156" spans="1:1">
      <c r="A156" s="46"/>
    </row>
    <row r="157" spans="1:1">
      <c r="A157" s="46"/>
    </row>
    <row r="158" spans="1:1">
      <c r="A158" s="46"/>
    </row>
    <row r="159" spans="1:1">
      <c r="A159" s="46"/>
    </row>
    <row r="160" spans="1:1">
      <c r="A160" s="46"/>
    </row>
    <row r="161" spans="1:1">
      <c r="A161" s="46"/>
    </row>
    <row r="162" spans="1:1">
      <c r="A162" s="46"/>
    </row>
    <row r="163" spans="1:1">
      <c r="A163" s="46"/>
    </row>
    <row r="164" spans="1:1">
      <c r="A164" s="46"/>
    </row>
    <row r="165" spans="1:1">
      <c r="A165" s="46"/>
    </row>
    <row r="166" spans="1:1">
      <c r="A166" s="46"/>
    </row>
    <row r="167" spans="1:1">
      <c r="A167" s="46"/>
    </row>
    <row r="168" spans="1:1">
      <c r="A168" s="46"/>
    </row>
    <row r="169" spans="1:1">
      <c r="A169" s="46"/>
    </row>
    <row r="170" spans="1:1">
      <c r="A170" s="46"/>
    </row>
    <row r="171" spans="1:1">
      <c r="A171" s="46"/>
    </row>
    <row r="172" spans="1:1">
      <c r="A172" s="46"/>
    </row>
    <row r="173" spans="1:1">
      <c r="A173" s="46"/>
    </row>
    <row r="174" spans="1:1">
      <c r="A174" s="46"/>
    </row>
    <row r="175" spans="1:1">
      <c r="A175" s="46"/>
    </row>
    <row r="176" spans="1:1">
      <c r="A176" s="46"/>
    </row>
    <row r="177" spans="1:1">
      <c r="A177" s="46"/>
    </row>
    <row r="178" spans="1:1">
      <c r="A178" s="46"/>
    </row>
    <row r="179" spans="1:1">
      <c r="A179" s="46"/>
    </row>
    <row r="180" spans="1:1">
      <c r="A180" s="46"/>
    </row>
    <row r="181" spans="1:1">
      <c r="A181" s="46"/>
    </row>
    <row r="182" spans="1:1">
      <c r="A182" s="46"/>
    </row>
    <row r="183" spans="1:1">
      <c r="A183" s="46"/>
    </row>
    <row r="184" spans="1:1">
      <c r="A184" s="46"/>
    </row>
    <row r="185" spans="1:1">
      <c r="A185" s="46"/>
    </row>
    <row r="186" spans="1:1">
      <c r="A186" s="46"/>
    </row>
    <row r="187" spans="1:1">
      <c r="A187" s="46"/>
    </row>
    <row r="188" spans="1:1">
      <c r="A188" s="46"/>
    </row>
    <row r="189" spans="1:1">
      <c r="A189" s="46"/>
    </row>
    <row r="190" spans="1:1">
      <c r="A190" s="46"/>
    </row>
    <row r="191" spans="1:1">
      <c r="A191" s="46"/>
    </row>
    <row r="192" spans="1:1">
      <c r="A192" s="46"/>
    </row>
    <row r="193" spans="1:1">
      <c r="A193" s="46"/>
    </row>
    <row r="194" spans="1:1">
      <c r="A194" s="46"/>
    </row>
    <row r="195" spans="1:1">
      <c r="A195" s="46"/>
    </row>
    <row r="196" spans="1:1">
      <c r="A196" s="46"/>
    </row>
    <row r="197" spans="1:1">
      <c r="A197" s="46"/>
    </row>
    <row r="198" spans="1:1">
      <c r="A198" s="46"/>
    </row>
    <row r="199" spans="1:1">
      <c r="A199" s="46"/>
    </row>
    <row r="200" spans="1:1">
      <c r="A200" s="46"/>
    </row>
    <row r="201" spans="1:1">
      <c r="A201" s="46"/>
    </row>
    <row r="202" spans="1:1">
      <c r="A202" s="46"/>
    </row>
    <row r="203" spans="1:1">
      <c r="A203" s="46"/>
    </row>
    <row r="204" spans="1:1">
      <c r="A204" s="46"/>
    </row>
    <row r="205" spans="1:1">
      <c r="A205" s="46"/>
    </row>
    <row r="206" spans="1:1">
      <c r="A206" s="46"/>
    </row>
    <row r="207" spans="1:1">
      <c r="A207" s="46"/>
    </row>
    <row r="208" spans="1:1">
      <c r="A208" s="46"/>
    </row>
    <row r="209" spans="1:1">
      <c r="A209" s="46"/>
    </row>
    <row r="210" spans="1:1">
      <c r="A210" s="46"/>
    </row>
    <row r="211" spans="1:1">
      <c r="A211" s="46"/>
    </row>
    <row r="212" spans="1:1">
      <c r="A212" s="46"/>
    </row>
    <row r="213" spans="1:1">
      <c r="A213" s="46"/>
    </row>
    <row r="214" spans="1:1">
      <c r="A214" s="46"/>
    </row>
    <row r="215" spans="1:1">
      <c r="A215" s="46"/>
    </row>
    <row r="216" spans="1:1">
      <c r="A216" s="46"/>
    </row>
    <row r="217" spans="1:1">
      <c r="A217" s="46"/>
    </row>
    <row r="218" spans="1:1">
      <c r="A218" s="46"/>
    </row>
    <row r="219" spans="1:1">
      <c r="A219" s="46"/>
    </row>
    <row r="220" spans="1:1">
      <c r="A220" s="46"/>
    </row>
    <row r="221" spans="1:1">
      <c r="A221" s="46"/>
    </row>
  </sheetData>
  <mergeCells count="27">
    <mergeCell ref="F3:F4"/>
    <mergeCell ref="G3:J3"/>
    <mergeCell ref="E3:E4"/>
    <mergeCell ref="C59:D59"/>
    <mergeCell ref="E59:G59"/>
    <mergeCell ref="C60:D60"/>
    <mergeCell ref="E60:G60"/>
    <mergeCell ref="A3:A4"/>
    <mergeCell ref="A1:J1"/>
    <mergeCell ref="B3:B4"/>
    <mergeCell ref="C3:C4"/>
    <mergeCell ref="D3:D4"/>
    <mergeCell ref="A2:J2"/>
    <mergeCell ref="H57:J57"/>
    <mergeCell ref="C57:D57"/>
    <mergeCell ref="E57:G57"/>
    <mergeCell ref="C58:D58"/>
    <mergeCell ref="E58:G58"/>
    <mergeCell ref="H58:J58"/>
    <mergeCell ref="C64:D64"/>
    <mergeCell ref="E64:G64"/>
    <mergeCell ref="C61:D61"/>
    <mergeCell ref="E61:G61"/>
    <mergeCell ref="C62:D62"/>
    <mergeCell ref="E62:G62"/>
    <mergeCell ref="C63:D63"/>
    <mergeCell ref="E63:G63"/>
  </mergeCells>
  <phoneticPr fontId="0" type="noConversion"/>
  <pageMargins left="0.39370078740157483" right="0" top="0" bottom="0" header="0.27559055118110237" footer="0.31496062992125984"/>
  <pageSetup paperSize="9" scale="70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J24"/>
  <sheetViews>
    <sheetView view="pageBreakPreview" topLeftCell="A13" zoomScale="70" zoomScaleNormal="50" zoomScaleSheetLayoutView="70" workbookViewId="0">
      <selection activeCell="G12" sqref="G12"/>
    </sheetView>
  </sheetViews>
  <sheetFormatPr defaultRowHeight="12.75"/>
  <cols>
    <col min="1" max="1" width="41.140625" style="27" customWidth="1"/>
    <col min="2" max="2" width="5.85546875" style="27" customWidth="1"/>
    <col min="3" max="3" width="15" style="27" customWidth="1"/>
    <col min="4" max="4" width="14.85546875" style="27" customWidth="1"/>
    <col min="5" max="5" width="15.85546875" style="27" customWidth="1"/>
    <col min="6" max="6" width="14.5703125" style="27" customWidth="1"/>
    <col min="7" max="7" width="14.42578125" style="27" customWidth="1"/>
    <col min="8" max="8" width="28.42578125" style="27" customWidth="1"/>
    <col min="9" max="9" width="9.5703125" style="27" customWidth="1"/>
    <col min="10" max="16384" width="9.140625" style="27"/>
  </cols>
  <sheetData>
    <row r="1" spans="1:10" ht="40.5" customHeight="1">
      <c r="A1" s="612" t="s">
        <v>851</v>
      </c>
      <c r="B1" s="612"/>
      <c r="C1" s="612"/>
      <c r="D1" s="612"/>
      <c r="E1" s="612"/>
      <c r="F1" s="612"/>
      <c r="G1" s="612"/>
      <c r="H1" s="612"/>
    </row>
    <row r="2" spans="1:10" ht="7.5" customHeight="1"/>
    <row r="3" spans="1:10" ht="39.75" customHeight="1">
      <c r="A3" s="613" t="s">
        <v>873</v>
      </c>
      <c r="B3" s="615" t="s">
        <v>662</v>
      </c>
      <c r="C3" s="613" t="s">
        <v>761</v>
      </c>
      <c r="D3" s="613" t="s">
        <v>690</v>
      </c>
      <c r="E3" s="567" t="s">
        <v>697</v>
      </c>
      <c r="F3" s="553" t="s">
        <v>812</v>
      </c>
      <c r="G3" s="613" t="s">
        <v>762</v>
      </c>
      <c r="H3" s="613" t="s">
        <v>763</v>
      </c>
    </row>
    <row r="4" spans="1:10" ht="86.25" customHeight="1">
      <c r="A4" s="614"/>
      <c r="B4" s="616"/>
      <c r="C4" s="614"/>
      <c r="D4" s="614"/>
      <c r="E4" s="567"/>
      <c r="F4" s="554"/>
      <c r="G4" s="614"/>
      <c r="H4" s="614"/>
    </row>
    <row r="5" spans="1:10" s="56" customFormat="1" ht="15" customHeight="1">
      <c r="A5" s="135">
        <v>1</v>
      </c>
      <c r="B5" s="135">
        <v>2</v>
      </c>
      <c r="C5" s="135">
        <v>3</v>
      </c>
      <c r="D5" s="135">
        <v>4</v>
      </c>
      <c r="E5" s="135">
        <v>5</v>
      </c>
      <c r="F5" s="135">
        <v>6</v>
      </c>
      <c r="G5" s="135">
        <v>7</v>
      </c>
      <c r="H5" s="135">
        <v>8</v>
      </c>
    </row>
    <row r="6" spans="1:10" s="56" customFormat="1" ht="54.75" customHeight="1">
      <c r="A6" s="609" t="s">
        <v>821</v>
      </c>
      <c r="B6" s="610"/>
      <c r="C6" s="610"/>
      <c r="D6" s="610"/>
      <c r="E6" s="610"/>
      <c r="F6" s="610"/>
      <c r="G6" s="610"/>
      <c r="H6" s="611"/>
    </row>
    <row r="7" spans="1:10" ht="84.75" customHeight="1">
      <c r="A7" s="79" t="s">
        <v>936</v>
      </c>
      <c r="B7" s="110">
        <v>5000</v>
      </c>
      <c r="C7" s="80" t="s">
        <v>923</v>
      </c>
      <c r="D7" s="251">
        <f ca="1">'I. Фін результат'!C169/'Осн. фін. пок.'!C80</f>
        <v>-0.24024843023160256</v>
      </c>
      <c r="E7" s="251">
        <f ca="1">'I. Фін результат'!D169/'Осн. фін. пок.'!D80</f>
        <v>-0.42756391030338781</v>
      </c>
      <c r="F7" s="251">
        <f ca="1">'I. Фін результат'!E169/'Осн. фін. пок.'!E80</f>
        <v>-0.3331007767371682</v>
      </c>
      <c r="G7" s="251">
        <f ca="1">'I. Фін результат'!F169/'Осн. фін. пок.'!F80</f>
        <v>-0.26632767342041136</v>
      </c>
      <c r="H7" s="90" t="s">
        <v>924</v>
      </c>
    </row>
    <row r="8" spans="1:10" ht="123" customHeight="1">
      <c r="A8" s="79" t="s">
        <v>937</v>
      </c>
      <c r="B8" s="110">
        <v>5010</v>
      </c>
      <c r="C8" s="80" t="s">
        <v>764</v>
      </c>
      <c r="D8" s="251">
        <f ca="1">'I. Фін результат'!C169/'I. Фін результат'!C7</f>
        <v>-0.29182523123306009</v>
      </c>
      <c r="E8" s="251">
        <f ca="1">'I. Фін результат'!D169/'I. Фін результат'!D7</f>
        <v>-0.45370016241261596</v>
      </c>
      <c r="F8" s="251">
        <f ca="1">'I. Фін результат'!E169/'I. Фін результат'!E7</f>
        <v>-0.38748301962419657</v>
      </c>
      <c r="G8" s="251">
        <f ca="1">'I. Фін результат'!F169/'I. Фін результат'!F7</f>
        <v>-0.25875589788833431</v>
      </c>
      <c r="H8" s="90" t="s">
        <v>925</v>
      </c>
    </row>
    <row r="9" spans="1:10" ht="59.25" customHeight="1">
      <c r="A9" s="609" t="s">
        <v>822</v>
      </c>
      <c r="B9" s="610"/>
      <c r="C9" s="610"/>
      <c r="D9" s="610"/>
      <c r="E9" s="610"/>
      <c r="F9" s="610"/>
      <c r="G9" s="610"/>
      <c r="H9" s="611"/>
    </row>
    <row r="10" spans="1:10" s="56" customFormat="1" ht="114.75" customHeight="1">
      <c r="A10" s="79" t="s">
        <v>902</v>
      </c>
      <c r="B10" s="110">
        <v>5100</v>
      </c>
      <c r="C10" s="80" t="s">
        <v>818</v>
      </c>
      <c r="D10" s="251">
        <f ca="1">'Осн. фін. пок.'!C86/('Осн. фін. пок.'!C81+'Осн. фін. пок.'!C82)</f>
        <v>1.4541438915669942</v>
      </c>
      <c r="E10" s="251">
        <f ca="1">'Осн. фін. пок.'!D86/('Осн. фін. пок.'!D81+'Осн. фін. пок.'!D82)</f>
        <v>1.6411774302561353</v>
      </c>
      <c r="F10" s="251">
        <f ca="1">'Осн. фін. пок.'!E86/('Осн. фін. пок.'!E81+'Осн. фін. пок.'!E82)</f>
        <v>1.2829219574832358</v>
      </c>
      <c r="G10" s="251">
        <f ca="1">'Осн. фін. пок.'!F86/('Осн. фін. пок.'!F81+'Осн. фін. пок.'!F82)</f>
        <v>1.2829219574832358</v>
      </c>
      <c r="H10" s="136" t="s">
        <v>926</v>
      </c>
    </row>
    <row r="11" spans="1:10" s="56" customFormat="1" ht="130.5" customHeight="1">
      <c r="A11" s="79" t="s">
        <v>903</v>
      </c>
      <c r="B11" s="110">
        <v>5110</v>
      </c>
      <c r="C11" s="80" t="s">
        <v>818</v>
      </c>
      <c r="D11" s="251">
        <f ca="1">'Осн. фін. пок.'!C78/'Осн. фін. пок.'!C82</f>
        <v>1.2380645825822734</v>
      </c>
      <c r="E11" s="251">
        <f ca="1">'Осн. фін. пок.'!D78/'Осн. фін. пок.'!D82</f>
        <v>1.2670612525808671</v>
      </c>
      <c r="F11" s="251">
        <f ca="1">'Осн. фін. пок.'!E78/'Осн. фін. пок.'!E82</f>
        <v>1.3433402680342541</v>
      </c>
      <c r="G11" s="251">
        <f ca="1">'Осн. фін. пок.'!F78/'Осн. фін. пок.'!F82</f>
        <v>1.3433402680342541</v>
      </c>
      <c r="H11" s="136" t="s">
        <v>927</v>
      </c>
    </row>
    <row r="12" spans="1:10" ht="143.25" customHeight="1">
      <c r="A12" s="10" t="s">
        <v>490</v>
      </c>
      <c r="B12" s="127">
        <v>5120</v>
      </c>
      <c r="C12" s="80" t="s">
        <v>818</v>
      </c>
      <c r="D12" s="251">
        <f ca="1">'I. Фін результат'!C14/155888</f>
        <v>0.80552704505799044</v>
      </c>
      <c r="E12" s="251">
        <f ca="1">'I. Фін результат'!D14/146681</f>
        <v>1.0064139186397691</v>
      </c>
      <c r="F12" s="251">
        <f ca="1">'I. Фін результат'!E14/165904</f>
        <v>0.85504267528209088</v>
      </c>
      <c r="G12" s="251">
        <f ca="1">'I. Фін результат'!F14/165904</f>
        <v>0.9564651846851191</v>
      </c>
      <c r="H12" s="10" t="s">
        <v>491</v>
      </c>
    </row>
    <row r="13" spans="1:10" ht="40.5" customHeight="1">
      <c r="A13" s="46"/>
      <c r="B13" s="352"/>
      <c r="C13" s="353"/>
      <c r="D13" s="354"/>
      <c r="E13" s="354"/>
      <c r="F13" s="354"/>
      <c r="G13" s="354"/>
      <c r="H13" s="46"/>
    </row>
    <row r="14" spans="1:10" s="2" customFormat="1" ht="44.25" customHeight="1">
      <c r="A14" s="221" t="s">
        <v>1164</v>
      </c>
      <c r="B14" s="222"/>
      <c r="C14" s="573" t="s">
        <v>1165</v>
      </c>
      <c r="D14" s="573"/>
      <c r="E14" s="570" t="s">
        <v>317</v>
      </c>
      <c r="F14" s="570"/>
      <c r="G14" s="570"/>
      <c r="H14" s="65"/>
    </row>
    <row r="15" spans="1:10" s="1" customFormat="1" ht="20.100000000000001" customHeight="1">
      <c r="A15" s="132" t="s">
        <v>1166</v>
      </c>
      <c r="B15" s="133"/>
      <c r="C15" s="574" t="s">
        <v>741</v>
      </c>
      <c r="D15" s="574"/>
      <c r="E15" s="571" t="s">
        <v>1167</v>
      </c>
      <c r="F15" s="571"/>
      <c r="G15" s="571"/>
      <c r="H15" s="134"/>
      <c r="I15" s="54"/>
      <c r="J15" s="54"/>
    </row>
    <row r="16" spans="1:10" ht="15">
      <c r="A16" s="223"/>
      <c r="B16" s="205"/>
      <c r="C16" s="205"/>
      <c r="D16" s="205"/>
      <c r="E16" s="205"/>
      <c r="F16" s="205"/>
      <c r="G16" s="205"/>
    </row>
    <row r="17" spans="1:7" ht="18.75">
      <c r="A17" s="221" t="s">
        <v>1168</v>
      </c>
      <c r="B17" s="224"/>
      <c r="C17" s="608" t="s">
        <v>1165</v>
      </c>
      <c r="D17" s="608"/>
      <c r="E17" s="570" t="s">
        <v>1169</v>
      </c>
      <c r="F17" s="570"/>
      <c r="G17" s="570"/>
    </row>
    <row r="18" spans="1:7" ht="15">
      <c r="A18"/>
      <c r="B18"/>
      <c r="C18" s="574" t="s">
        <v>741</v>
      </c>
      <c r="D18" s="574"/>
      <c r="E18" s="571" t="s">
        <v>1167</v>
      </c>
      <c r="F18" s="571"/>
      <c r="G18" s="571"/>
    </row>
    <row r="19" spans="1:7">
      <c r="A19"/>
      <c r="B19"/>
      <c r="C19" s="225"/>
      <c r="D19" s="225"/>
      <c r="E19"/>
      <c r="F19" s="226"/>
      <c r="G19" s="226"/>
    </row>
    <row r="20" spans="1:7" ht="18.75">
      <c r="A20" s="221" t="s">
        <v>1170</v>
      </c>
      <c r="B20" s="224"/>
      <c r="C20" s="608" t="s">
        <v>1165</v>
      </c>
      <c r="D20" s="608"/>
      <c r="E20" s="570" t="s">
        <v>1171</v>
      </c>
      <c r="F20" s="570"/>
      <c r="G20" s="570"/>
    </row>
    <row r="21" spans="1:7" ht="18.75">
      <c r="A21" s="221"/>
      <c r="B21"/>
      <c r="C21" s="574" t="s">
        <v>741</v>
      </c>
      <c r="D21" s="574"/>
      <c r="E21" s="571" t="s">
        <v>1167</v>
      </c>
      <c r="F21" s="571"/>
      <c r="G21" s="571"/>
    </row>
    <row r="22" spans="1:7" ht="18.75">
      <c r="A22" s="221"/>
      <c r="B22"/>
      <c r="C22"/>
      <c r="D22"/>
      <c r="E22"/>
      <c r="F22" s="236"/>
      <c r="G22" s="236"/>
    </row>
    <row r="23" spans="1:7" ht="18.75">
      <c r="A23" s="221" t="s">
        <v>1172</v>
      </c>
      <c r="B23" s="224"/>
      <c r="C23" s="608" t="s">
        <v>1165</v>
      </c>
      <c r="D23" s="608"/>
      <c r="E23" s="570" t="s">
        <v>1173</v>
      </c>
      <c r="F23" s="570"/>
      <c r="G23" s="570"/>
    </row>
    <row r="24" spans="1:7" ht="15">
      <c r="A24"/>
      <c r="B24"/>
      <c r="C24" s="574" t="s">
        <v>741</v>
      </c>
      <c r="D24" s="574"/>
      <c r="E24" s="571" t="s">
        <v>1167</v>
      </c>
      <c r="F24" s="571"/>
      <c r="G24" s="571"/>
    </row>
  </sheetData>
  <mergeCells count="27">
    <mergeCell ref="G3:G4"/>
    <mergeCell ref="C18:D18"/>
    <mergeCell ref="E18:G18"/>
    <mergeCell ref="A1:H1"/>
    <mergeCell ref="H3:H4"/>
    <mergeCell ref="A3:A4"/>
    <mergeCell ref="B3:B4"/>
    <mergeCell ref="C3:C4"/>
    <mergeCell ref="D3:D4"/>
    <mergeCell ref="E3:E4"/>
    <mergeCell ref="F3:F4"/>
    <mergeCell ref="C15:D15"/>
    <mergeCell ref="E15:G15"/>
    <mergeCell ref="C23:D23"/>
    <mergeCell ref="E23:G23"/>
    <mergeCell ref="A6:H6"/>
    <mergeCell ref="A9:H9"/>
    <mergeCell ref="C14:D14"/>
    <mergeCell ref="E14:G14"/>
    <mergeCell ref="C17:D17"/>
    <mergeCell ref="E17:G17"/>
    <mergeCell ref="C24:D24"/>
    <mergeCell ref="E24:G24"/>
    <mergeCell ref="C20:D20"/>
    <mergeCell ref="E20:G20"/>
    <mergeCell ref="C21:D21"/>
    <mergeCell ref="E21:G21"/>
  </mergeCells>
  <phoneticPr fontId="3" type="noConversion"/>
  <pageMargins left="0.78740157480314965" right="0" top="0.39370078740157483" bottom="0.39370078740157483" header="0.27559055118110237" footer="0.31496062992125984"/>
  <pageSetup paperSize="9"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O87"/>
  <sheetViews>
    <sheetView view="pageBreakPreview" zoomScale="75" zoomScaleNormal="60" zoomScaleSheetLayoutView="75" workbookViewId="0">
      <selection activeCell="M47" sqref="M47"/>
    </sheetView>
  </sheetViews>
  <sheetFormatPr defaultRowHeight="18.75"/>
  <cols>
    <col min="1" max="1" width="37.5703125" style="1" customWidth="1"/>
    <col min="2" max="2" width="13.5703125" style="16" customWidth="1"/>
    <col min="3" max="3" width="12.7109375" style="1" customWidth="1"/>
    <col min="4" max="4" width="15.140625" style="1" customWidth="1"/>
    <col min="5" max="5" width="14" style="1" customWidth="1"/>
    <col min="6" max="6" width="14.85546875" style="1" customWidth="1"/>
    <col min="7" max="7" width="13.85546875" style="1" customWidth="1"/>
    <col min="8" max="8" width="14.42578125" style="1" customWidth="1"/>
    <col min="9" max="9" width="14" style="1" customWidth="1"/>
    <col min="10" max="10" width="15" style="1" customWidth="1"/>
    <col min="11" max="11" width="14.140625" style="1" customWidth="1"/>
    <col min="12" max="13" width="14.7109375" style="1" customWidth="1"/>
    <col min="14" max="14" width="16.7109375" style="1" customWidth="1"/>
    <col min="15" max="15" width="13.7109375" style="1" customWidth="1"/>
    <col min="16" max="16384" width="9.140625" style="1"/>
  </cols>
  <sheetData>
    <row r="1" spans="1:15">
      <c r="A1" s="622" t="s">
        <v>781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</row>
    <row r="2" spans="1:15" ht="17.25" customHeight="1">
      <c r="A2" s="622" t="s">
        <v>314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</row>
    <row r="3" spans="1:15" ht="20.25">
      <c r="A3" s="623" t="s">
        <v>1060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</row>
    <row r="4" spans="1:15" ht="14.25" customHeight="1">
      <c r="A4" s="636" t="s">
        <v>791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</row>
    <row r="5" spans="1:15" ht="20.25" customHeight="1">
      <c r="A5" s="624" t="s">
        <v>753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</row>
    <row r="6" spans="1:15" ht="8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6.5" customHeight="1">
      <c r="A7" s="637" t="s">
        <v>928</v>
      </c>
      <c r="B7" s="637"/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</row>
    <row r="8" spans="1:15" ht="10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s="2" customFormat="1" ht="40.5" customHeight="1">
      <c r="A9" s="557" t="s">
        <v>873</v>
      </c>
      <c r="B9" s="557"/>
      <c r="C9" s="557"/>
      <c r="D9" s="567" t="s">
        <v>793</v>
      </c>
      <c r="E9" s="567"/>
      <c r="F9" s="567" t="s">
        <v>690</v>
      </c>
      <c r="G9" s="567"/>
      <c r="H9" s="567" t="s">
        <v>727</v>
      </c>
      <c r="I9" s="567"/>
      <c r="J9" s="567" t="s">
        <v>794</v>
      </c>
      <c r="K9" s="567"/>
      <c r="L9" s="567" t="s">
        <v>888</v>
      </c>
      <c r="M9" s="567"/>
      <c r="N9" s="567" t="s">
        <v>889</v>
      </c>
      <c r="O9" s="567"/>
    </row>
    <row r="10" spans="1:15" s="2" customFormat="1" ht="14.25" customHeight="1">
      <c r="A10" s="631">
        <v>1</v>
      </c>
      <c r="B10" s="631"/>
      <c r="C10" s="631"/>
      <c r="D10" s="617">
        <v>2</v>
      </c>
      <c r="E10" s="617"/>
      <c r="F10" s="617">
        <v>3</v>
      </c>
      <c r="G10" s="617"/>
      <c r="H10" s="617">
        <v>4</v>
      </c>
      <c r="I10" s="617"/>
      <c r="J10" s="617">
        <v>5</v>
      </c>
      <c r="K10" s="617"/>
      <c r="L10" s="617">
        <v>6</v>
      </c>
      <c r="M10" s="617"/>
      <c r="N10" s="617">
        <v>7</v>
      </c>
      <c r="O10" s="617"/>
    </row>
    <row r="11" spans="1:15" s="2" customFormat="1" ht="31.5" customHeight="1">
      <c r="A11" s="633" t="s">
        <v>792</v>
      </c>
      <c r="B11" s="634"/>
      <c r="C11" s="635"/>
      <c r="D11" s="630">
        <f>D12+D13+D17</f>
        <v>918.25</v>
      </c>
      <c r="E11" s="630"/>
      <c r="F11" s="632">
        <f>F12+F13+F17</f>
        <v>895</v>
      </c>
      <c r="G11" s="632"/>
      <c r="H11" s="630">
        <f>H12+H13+H17</f>
        <v>962.75</v>
      </c>
      <c r="I11" s="630"/>
      <c r="J11" s="639">
        <f ca="1">'дод 1 до поясн Розрахунок ФОП'!C12</f>
        <v>847</v>
      </c>
      <c r="K11" s="640"/>
      <c r="L11" s="641">
        <f>J11/H11*100</f>
        <v>87.977148792521419</v>
      </c>
      <c r="M11" s="642"/>
      <c r="N11" s="641">
        <f>J11/F11*100</f>
        <v>94.636871508379883</v>
      </c>
      <c r="O11" s="642"/>
    </row>
    <row r="12" spans="1:15" s="2" customFormat="1" ht="24.95" customHeight="1">
      <c r="A12" s="619" t="s">
        <v>871</v>
      </c>
      <c r="B12" s="619"/>
      <c r="C12" s="619"/>
      <c r="D12" s="625">
        <v>1</v>
      </c>
      <c r="E12" s="626"/>
      <c r="F12" s="629">
        <v>1</v>
      </c>
      <c r="G12" s="629"/>
      <c r="H12" s="629">
        <v>1</v>
      </c>
      <c r="I12" s="629"/>
      <c r="J12" s="625">
        <v>1</v>
      </c>
      <c r="K12" s="626"/>
      <c r="L12" s="627">
        <f t="shared" ref="L12:L34" si="0">J12/H12*100</f>
        <v>100</v>
      </c>
      <c r="M12" s="628"/>
      <c r="N12" s="627">
        <f t="shared" ref="N12:N34" si="1">J12/F12*100</f>
        <v>100</v>
      </c>
      <c r="O12" s="628"/>
    </row>
    <row r="13" spans="1:15" s="2" customFormat="1" ht="24.95" customHeight="1">
      <c r="A13" s="619" t="s">
        <v>890</v>
      </c>
      <c r="B13" s="619"/>
      <c r="C13" s="619"/>
      <c r="D13" s="620">
        <v>144.5</v>
      </c>
      <c r="E13" s="621"/>
      <c r="F13" s="629">
        <v>147</v>
      </c>
      <c r="G13" s="629"/>
      <c r="H13" s="618">
        <v>149.5</v>
      </c>
      <c r="I13" s="618"/>
      <c r="J13" s="618">
        <v>145</v>
      </c>
      <c r="K13" s="618"/>
      <c r="L13" s="627">
        <f>J13/H13*100</f>
        <v>96.989966555183955</v>
      </c>
      <c r="M13" s="628"/>
      <c r="N13" s="627">
        <f>J13/F13*100</f>
        <v>98.639455782312922</v>
      </c>
      <c r="O13" s="628"/>
    </row>
    <row r="14" spans="1:15" s="2" customFormat="1" ht="24.95" hidden="1" customHeight="1">
      <c r="A14" s="619" t="s">
        <v>904</v>
      </c>
      <c r="B14" s="619"/>
      <c r="C14" s="619"/>
      <c r="D14" s="625">
        <f>138+8-D12-D15-D16</f>
        <v>125</v>
      </c>
      <c r="E14" s="626"/>
      <c r="F14" s="629">
        <v>76</v>
      </c>
      <c r="G14" s="629"/>
      <c r="H14" s="618">
        <v>75.5</v>
      </c>
      <c r="I14" s="618"/>
      <c r="J14" s="620">
        <f ca="1">'дод 1 до поясн Розрахунок ФОП'!C434</f>
        <v>74</v>
      </c>
      <c r="K14" s="621"/>
      <c r="L14" s="627">
        <f t="shared" si="0"/>
        <v>98.013245033112582</v>
      </c>
      <c r="M14" s="628"/>
      <c r="N14" s="627">
        <f t="shared" si="1"/>
        <v>97.368421052631575</v>
      </c>
      <c r="O14" s="628"/>
    </row>
    <row r="15" spans="1:15" s="2" customFormat="1" ht="24.95" hidden="1" customHeight="1">
      <c r="A15" s="619" t="s">
        <v>905</v>
      </c>
      <c r="B15" s="619"/>
      <c r="C15" s="619"/>
      <c r="D15" s="629">
        <v>18</v>
      </c>
      <c r="E15" s="629"/>
      <c r="F15" s="629">
        <v>17</v>
      </c>
      <c r="G15" s="629"/>
      <c r="H15" s="629">
        <v>18</v>
      </c>
      <c r="I15" s="629"/>
      <c r="J15" s="625">
        <f ca="1">'дод 1 до поясн Розрахунок ФОП'!C435</f>
        <v>18</v>
      </c>
      <c r="K15" s="626"/>
      <c r="L15" s="627">
        <f t="shared" si="0"/>
        <v>100</v>
      </c>
      <c r="M15" s="628"/>
      <c r="N15" s="627">
        <f t="shared" si="1"/>
        <v>105.88235294117648</v>
      </c>
      <c r="O15" s="628"/>
    </row>
    <row r="16" spans="1:15" s="2" customFormat="1" ht="24.95" hidden="1" customHeight="1">
      <c r="A16" s="619" t="s">
        <v>906</v>
      </c>
      <c r="B16" s="619"/>
      <c r="C16" s="619"/>
      <c r="D16" s="629">
        <v>2</v>
      </c>
      <c r="E16" s="629"/>
      <c r="F16" s="629">
        <v>2</v>
      </c>
      <c r="G16" s="629"/>
      <c r="H16" s="629">
        <v>2</v>
      </c>
      <c r="I16" s="629"/>
      <c r="J16" s="625">
        <f ca="1">'дод 1 до поясн Розрахунок ФОП'!C436</f>
        <v>2</v>
      </c>
      <c r="K16" s="626"/>
      <c r="L16" s="627">
        <f>J16/H16*100</f>
        <v>100</v>
      </c>
      <c r="M16" s="628"/>
      <c r="N16" s="627">
        <f t="shared" si="1"/>
        <v>100</v>
      </c>
      <c r="O16" s="628"/>
    </row>
    <row r="17" spans="1:15" s="2" customFormat="1" ht="24.95" customHeight="1">
      <c r="A17" s="619" t="s">
        <v>872</v>
      </c>
      <c r="B17" s="619"/>
      <c r="C17" s="619"/>
      <c r="D17" s="638">
        <v>772.75</v>
      </c>
      <c r="E17" s="638"/>
      <c r="F17" s="629">
        <v>747</v>
      </c>
      <c r="G17" s="629"/>
      <c r="H17" s="638">
        <v>812.25</v>
      </c>
      <c r="I17" s="638"/>
      <c r="J17" s="638">
        <f ca="1">J11-J12-J13</f>
        <v>701</v>
      </c>
      <c r="K17" s="638"/>
      <c r="L17" s="627">
        <f t="shared" si="0"/>
        <v>86.303477993228682</v>
      </c>
      <c r="M17" s="628"/>
      <c r="N17" s="627">
        <f t="shared" si="1"/>
        <v>93.842034805890222</v>
      </c>
      <c r="O17" s="628"/>
    </row>
    <row r="18" spans="1:15" s="2" customFormat="1" ht="24.95" hidden="1" customHeight="1">
      <c r="A18" s="619" t="s">
        <v>907</v>
      </c>
      <c r="B18" s="619"/>
      <c r="C18" s="619"/>
      <c r="D18" s="629">
        <v>0</v>
      </c>
      <c r="E18" s="629"/>
      <c r="F18" s="629">
        <v>0</v>
      </c>
      <c r="G18" s="629"/>
      <c r="H18" s="629">
        <v>0</v>
      </c>
      <c r="I18" s="629"/>
      <c r="J18" s="625">
        <v>0</v>
      </c>
      <c r="K18" s="626"/>
      <c r="L18" s="627" t="e">
        <f t="shared" si="0"/>
        <v>#DIV/0!</v>
      </c>
      <c r="M18" s="628"/>
      <c r="N18" s="627" t="e">
        <f t="shared" si="1"/>
        <v>#DIV/0!</v>
      </c>
      <c r="O18" s="628"/>
    </row>
    <row r="19" spans="1:15" s="2" customFormat="1" ht="30" customHeight="1">
      <c r="A19" s="579" t="s">
        <v>886</v>
      </c>
      <c r="B19" s="579"/>
      <c r="C19" s="579"/>
      <c r="D19" s="630">
        <f>39784.85</f>
        <v>39784.85</v>
      </c>
      <c r="E19" s="630"/>
      <c r="F19" s="632">
        <f>F20+F21+F22</f>
        <v>39477.699999999997</v>
      </c>
      <c r="G19" s="632"/>
      <c r="H19" s="630">
        <v>47528.224208249827</v>
      </c>
      <c r="I19" s="630"/>
      <c r="J19" s="639">
        <f ca="1">'дод 1 до поясн Розрахунок ФОП'!U12</f>
        <v>53174.797990203937</v>
      </c>
      <c r="K19" s="640"/>
      <c r="L19" s="641">
        <f t="shared" si="0"/>
        <v>111.88046445247579</v>
      </c>
      <c r="M19" s="642"/>
      <c r="N19" s="641">
        <f t="shared" si="1"/>
        <v>134.6957851906366</v>
      </c>
      <c r="O19" s="642"/>
    </row>
    <row r="20" spans="1:15" s="2" customFormat="1" ht="24.95" customHeight="1">
      <c r="A20" s="619" t="s">
        <v>871</v>
      </c>
      <c r="B20" s="619"/>
      <c r="C20" s="619"/>
      <c r="D20" s="638">
        <v>113.5</v>
      </c>
      <c r="E20" s="638"/>
      <c r="F20" s="618">
        <v>108.7</v>
      </c>
      <c r="G20" s="618"/>
      <c r="H20" s="638">
        <v>136.08635807999997</v>
      </c>
      <c r="I20" s="638"/>
      <c r="J20" s="643">
        <f ca="1">'дод 1 до поясн Розрахунок ФОП'!U13</f>
        <v>147.33451360000001</v>
      </c>
      <c r="K20" s="644"/>
      <c r="L20" s="627">
        <f t="shared" si="0"/>
        <v>108.26545414154421</v>
      </c>
      <c r="M20" s="628"/>
      <c r="N20" s="627">
        <f t="shared" si="1"/>
        <v>135.54233081876725</v>
      </c>
      <c r="O20" s="628"/>
    </row>
    <row r="21" spans="1:15" s="2" customFormat="1" ht="24.95" customHeight="1">
      <c r="A21" s="619" t="s">
        <v>890</v>
      </c>
      <c r="B21" s="619"/>
      <c r="C21" s="619"/>
      <c r="D21" s="638">
        <f>8700-D20</f>
        <v>8586.5</v>
      </c>
      <c r="E21" s="638"/>
      <c r="F21" s="618">
        <v>8506.9</v>
      </c>
      <c r="G21" s="618"/>
      <c r="H21" s="638">
        <v>10752.845256698807</v>
      </c>
      <c r="I21" s="638"/>
      <c r="J21" s="643">
        <f ca="1">'дод 1 до поясн Розрахунок ФОП'!U407-'6.1. Інша інфо_1'!J20:K20</f>
        <v>13119.492452578765</v>
      </c>
      <c r="K21" s="644"/>
      <c r="L21" s="627">
        <f t="shared" si="0"/>
        <v>122.00949738773173</v>
      </c>
      <c r="M21" s="628"/>
      <c r="N21" s="627">
        <f t="shared" si="1"/>
        <v>154.22177823388972</v>
      </c>
      <c r="O21" s="628"/>
    </row>
    <row r="22" spans="1:15" s="2" customFormat="1" ht="24.95" customHeight="1">
      <c r="A22" s="619" t="s">
        <v>872</v>
      </c>
      <c r="B22" s="619"/>
      <c r="C22" s="619"/>
      <c r="D22" s="638">
        <f>D19-D20-D21</f>
        <v>31084.85</v>
      </c>
      <c r="E22" s="638"/>
      <c r="F22" s="618">
        <v>30862.1</v>
      </c>
      <c r="G22" s="618"/>
      <c r="H22" s="638">
        <f>H19-H20-H21</f>
        <v>36639.292593471022</v>
      </c>
      <c r="I22" s="638"/>
      <c r="J22" s="643">
        <f>J19-J20-J21</f>
        <v>39907.971024025173</v>
      </c>
      <c r="K22" s="644"/>
      <c r="L22" s="627">
        <f t="shared" si="0"/>
        <v>108.92123782743725</v>
      </c>
      <c r="M22" s="628"/>
      <c r="N22" s="627">
        <f t="shared" si="1"/>
        <v>129.31061406717356</v>
      </c>
      <c r="O22" s="628"/>
    </row>
    <row r="23" spans="1:15" s="2" customFormat="1" ht="43.5" customHeight="1">
      <c r="A23" s="579" t="s">
        <v>887</v>
      </c>
      <c r="B23" s="579"/>
      <c r="C23" s="579"/>
      <c r="D23" s="630">
        <f>D24+D25+D26</f>
        <v>39784.85</v>
      </c>
      <c r="E23" s="630"/>
      <c r="F23" s="630">
        <f>F24+F25+F26</f>
        <v>39867.03</v>
      </c>
      <c r="G23" s="630"/>
      <c r="H23" s="630">
        <f>H24+H25+H26</f>
        <v>47528.224208249827</v>
      </c>
      <c r="I23" s="630"/>
      <c r="J23" s="630">
        <f>J24+J25+J26</f>
        <v>53174.797990203937</v>
      </c>
      <c r="K23" s="630"/>
      <c r="L23" s="641">
        <f t="shared" si="0"/>
        <v>111.88046445247579</v>
      </c>
      <c r="M23" s="642"/>
      <c r="N23" s="641">
        <f t="shared" si="1"/>
        <v>133.38038471941337</v>
      </c>
      <c r="O23" s="642"/>
    </row>
    <row r="24" spans="1:15" s="2" customFormat="1" ht="24.95" customHeight="1">
      <c r="A24" s="619" t="s">
        <v>871</v>
      </c>
      <c r="B24" s="619"/>
      <c r="C24" s="619"/>
      <c r="D24" s="638">
        <f>D20</f>
        <v>113.5</v>
      </c>
      <c r="E24" s="638"/>
      <c r="F24" s="638">
        <f>F20</f>
        <v>108.7</v>
      </c>
      <c r="G24" s="638"/>
      <c r="H24" s="638">
        <f>H20</f>
        <v>136.08635807999997</v>
      </c>
      <c r="I24" s="638"/>
      <c r="J24" s="638">
        <f>J20</f>
        <v>147.33451360000001</v>
      </c>
      <c r="K24" s="638"/>
      <c r="L24" s="627">
        <f t="shared" si="0"/>
        <v>108.26545414154421</v>
      </c>
      <c r="M24" s="628"/>
      <c r="N24" s="627">
        <f t="shared" si="1"/>
        <v>135.54233081876725</v>
      </c>
      <c r="O24" s="628"/>
    </row>
    <row r="25" spans="1:15" s="2" customFormat="1" ht="24.95" customHeight="1">
      <c r="A25" s="619" t="s">
        <v>890</v>
      </c>
      <c r="B25" s="619"/>
      <c r="C25" s="619"/>
      <c r="D25" s="638">
        <f>D21</f>
        <v>8586.5</v>
      </c>
      <c r="E25" s="638"/>
      <c r="F25" s="638">
        <f>F21+46.83+3.1+33.9</f>
        <v>8590.73</v>
      </c>
      <c r="G25" s="638"/>
      <c r="H25" s="638">
        <f t="shared" ref="H25:J26" si="2">H21</f>
        <v>10752.845256698807</v>
      </c>
      <c r="I25" s="638"/>
      <c r="J25" s="638">
        <f t="shared" si="2"/>
        <v>13119.492452578765</v>
      </c>
      <c r="K25" s="638"/>
      <c r="L25" s="627">
        <f t="shared" si="0"/>
        <v>122.00949738773173</v>
      </c>
      <c r="M25" s="628"/>
      <c r="N25" s="627">
        <f t="shared" si="1"/>
        <v>152.71685238133156</v>
      </c>
      <c r="O25" s="628"/>
    </row>
    <row r="26" spans="1:15" s="2" customFormat="1" ht="24.95" customHeight="1">
      <c r="A26" s="619" t="s">
        <v>872</v>
      </c>
      <c r="B26" s="619"/>
      <c r="C26" s="619"/>
      <c r="D26" s="638">
        <f>D22</f>
        <v>31084.85</v>
      </c>
      <c r="E26" s="638"/>
      <c r="F26" s="638">
        <f>F22+236.67+1.83+62.6+4.4</f>
        <v>31167.599999999999</v>
      </c>
      <c r="G26" s="638"/>
      <c r="H26" s="638">
        <f t="shared" si="2"/>
        <v>36639.292593471022</v>
      </c>
      <c r="I26" s="638"/>
      <c r="J26" s="638">
        <f t="shared" si="2"/>
        <v>39907.971024025173</v>
      </c>
      <c r="K26" s="638"/>
      <c r="L26" s="627">
        <f t="shared" si="0"/>
        <v>108.92123782743725</v>
      </c>
      <c r="M26" s="628"/>
      <c r="N26" s="627">
        <f t="shared" si="1"/>
        <v>128.04313140577131</v>
      </c>
      <c r="O26" s="628"/>
    </row>
    <row r="27" spans="1:15" s="2" customFormat="1" ht="39.75" customHeight="1">
      <c r="A27" s="579" t="s">
        <v>908</v>
      </c>
      <c r="B27" s="579"/>
      <c r="C27" s="579"/>
      <c r="D27" s="630">
        <f>D19/D11/12*1000</f>
        <v>3610.5681096288226</v>
      </c>
      <c r="E27" s="630"/>
      <c r="F27" s="630">
        <f>F19/F11/12*1000</f>
        <v>3675.7635009310989</v>
      </c>
      <c r="G27" s="630"/>
      <c r="H27" s="630">
        <f>H19/H11/12*1000</f>
        <v>4113.9292139054642</v>
      </c>
      <c r="I27" s="630"/>
      <c r="J27" s="630">
        <f>J19/J11/12*1000</f>
        <v>5231.6802430346261</v>
      </c>
      <c r="K27" s="630"/>
      <c r="L27" s="641">
        <f t="shared" si="0"/>
        <v>127.16991399246879</v>
      </c>
      <c r="M27" s="642"/>
      <c r="N27" s="641">
        <f t="shared" si="1"/>
        <v>142.32907644110949</v>
      </c>
      <c r="O27" s="642"/>
    </row>
    <row r="28" spans="1:15" s="2" customFormat="1" ht="24.95" customHeight="1">
      <c r="A28" s="619" t="s">
        <v>871</v>
      </c>
      <c r="B28" s="619"/>
      <c r="C28" s="619"/>
      <c r="D28" s="638">
        <f>D20/12*1000</f>
        <v>9458.3333333333339</v>
      </c>
      <c r="E28" s="638"/>
      <c r="F28" s="638">
        <f>F20/12*1000</f>
        <v>9058.3333333333339</v>
      </c>
      <c r="G28" s="638"/>
      <c r="H28" s="638">
        <f>H20/12*1000</f>
        <v>11340.529839999997</v>
      </c>
      <c r="I28" s="638"/>
      <c r="J28" s="638">
        <f>J20/12*1000</f>
        <v>12277.876133333335</v>
      </c>
      <c r="K28" s="638"/>
      <c r="L28" s="627">
        <f t="shared" si="0"/>
        <v>108.26545414154423</v>
      </c>
      <c r="M28" s="628"/>
      <c r="N28" s="627">
        <f t="shared" si="1"/>
        <v>135.54233081876725</v>
      </c>
      <c r="O28" s="628"/>
    </row>
    <row r="29" spans="1:15" s="2" customFormat="1" ht="24.95" customHeight="1">
      <c r="A29" s="619" t="s">
        <v>890</v>
      </c>
      <c r="B29" s="619"/>
      <c r="C29" s="619"/>
      <c r="D29" s="638">
        <f>D21/D13/12*1000</f>
        <v>4951.8454440599771</v>
      </c>
      <c r="E29" s="638"/>
      <c r="F29" s="638">
        <f>F21/F13/12*1000</f>
        <v>4822.50566893424</v>
      </c>
      <c r="G29" s="638"/>
      <c r="H29" s="638">
        <f>H21/H13/12*1000</f>
        <v>5993.782194369458</v>
      </c>
      <c r="I29" s="638"/>
      <c r="J29" s="638">
        <f>J21/J13/12*1000</f>
        <v>7539.9381911372211</v>
      </c>
      <c r="K29" s="638"/>
      <c r="L29" s="627">
        <f t="shared" si="0"/>
        <v>125.79599903079925</v>
      </c>
      <c r="M29" s="628"/>
      <c r="N29" s="627">
        <f t="shared" si="1"/>
        <v>156.34897517504683</v>
      </c>
      <c r="O29" s="628"/>
    </row>
    <row r="30" spans="1:15" s="2" customFormat="1" ht="24.95" customHeight="1">
      <c r="A30" s="619" t="s">
        <v>872</v>
      </c>
      <c r="B30" s="619"/>
      <c r="C30" s="619"/>
      <c r="D30" s="638">
        <f>D22/D17/12*1000</f>
        <v>3352.1891512994716</v>
      </c>
      <c r="E30" s="638"/>
      <c r="F30" s="638">
        <f>F22/F17/12*1000</f>
        <v>3442.8937974118699</v>
      </c>
      <c r="G30" s="638"/>
      <c r="H30" s="638">
        <f>H22/H17/12*1000</f>
        <v>3759.0327889064347</v>
      </c>
      <c r="I30" s="638"/>
      <c r="J30" s="638">
        <f>J22/J17/12*1000</f>
        <v>4744.1715435122651</v>
      </c>
      <c r="K30" s="638"/>
      <c r="L30" s="627">
        <f t="shared" si="0"/>
        <v>126.20724026438791</v>
      </c>
      <c r="M30" s="628"/>
      <c r="N30" s="627">
        <f t="shared" si="1"/>
        <v>137.79604665931333</v>
      </c>
      <c r="O30" s="628"/>
    </row>
    <row r="31" spans="1:15" s="2" customFormat="1" ht="45" customHeight="1">
      <c r="A31" s="579" t="s">
        <v>909</v>
      </c>
      <c r="B31" s="579"/>
      <c r="C31" s="579"/>
      <c r="D31" s="630">
        <f>D23/D11/12*1000</f>
        <v>3610.5681096288226</v>
      </c>
      <c r="E31" s="630"/>
      <c r="F31" s="630">
        <f>F23/F11/12*1000</f>
        <v>3712.0139664804465</v>
      </c>
      <c r="G31" s="630"/>
      <c r="H31" s="630">
        <f>H23/H11/12*1000</f>
        <v>4113.9292139054642</v>
      </c>
      <c r="I31" s="630"/>
      <c r="J31" s="630">
        <f>J23/J11/12*1000</f>
        <v>5231.6802430346261</v>
      </c>
      <c r="K31" s="630"/>
      <c r="L31" s="641">
        <f t="shared" si="0"/>
        <v>127.16991399246879</v>
      </c>
      <c r="M31" s="642"/>
      <c r="N31" s="641">
        <f t="shared" si="1"/>
        <v>140.93913143314637</v>
      </c>
      <c r="O31" s="642"/>
    </row>
    <row r="32" spans="1:15" s="2" customFormat="1" ht="24.95" customHeight="1">
      <c r="A32" s="619" t="s">
        <v>871</v>
      </c>
      <c r="B32" s="619"/>
      <c r="C32" s="619"/>
      <c r="D32" s="638">
        <f>D24/12*1000</f>
        <v>9458.3333333333339</v>
      </c>
      <c r="E32" s="638"/>
      <c r="F32" s="638">
        <f>F24/12*1000</f>
        <v>9058.3333333333339</v>
      </c>
      <c r="G32" s="638"/>
      <c r="H32" s="638">
        <f>H24/12*1000</f>
        <v>11340.529839999997</v>
      </c>
      <c r="I32" s="638"/>
      <c r="J32" s="638">
        <f>J24/12*1000</f>
        <v>12277.876133333335</v>
      </c>
      <c r="K32" s="638"/>
      <c r="L32" s="627">
        <f t="shared" si="0"/>
        <v>108.26545414154423</v>
      </c>
      <c r="M32" s="628"/>
      <c r="N32" s="627">
        <f t="shared" si="1"/>
        <v>135.54233081876725</v>
      </c>
      <c r="O32" s="628"/>
    </row>
    <row r="33" spans="1:15" s="2" customFormat="1" ht="24.95" customHeight="1">
      <c r="A33" s="619" t="s">
        <v>890</v>
      </c>
      <c r="B33" s="619"/>
      <c r="C33" s="619"/>
      <c r="D33" s="638">
        <f>D25/D13/12*1000</f>
        <v>4951.8454440599771</v>
      </c>
      <c r="E33" s="638"/>
      <c r="F33" s="638">
        <f>F25/F13/12*1000</f>
        <v>4870.028344671201</v>
      </c>
      <c r="G33" s="638"/>
      <c r="H33" s="638">
        <f>H25/H13/12*1000</f>
        <v>5993.782194369458</v>
      </c>
      <c r="I33" s="638"/>
      <c r="J33" s="638">
        <f>J25/J13/12*1000</f>
        <v>7539.9381911372211</v>
      </c>
      <c r="K33" s="638"/>
      <c r="L33" s="627">
        <f t="shared" si="0"/>
        <v>125.79599903079925</v>
      </c>
      <c r="M33" s="628"/>
      <c r="N33" s="627">
        <f t="shared" si="1"/>
        <v>154.82329172452236</v>
      </c>
      <c r="O33" s="628"/>
    </row>
    <row r="34" spans="1:15" s="2" customFormat="1" ht="24.95" customHeight="1">
      <c r="A34" s="619" t="s">
        <v>872</v>
      </c>
      <c r="B34" s="619"/>
      <c r="C34" s="619"/>
      <c r="D34" s="638">
        <f>D26/12/D17*1000</f>
        <v>3352.1891512994716</v>
      </c>
      <c r="E34" s="638"/>
      <c r="F34" s="638">
        <f>F26/12/F17*1000</f>
        <v>3476.9745649263718</v>
      </c>
      <c r="G34" s="638"/>
      <c r="H34" s="638">
        <f>H26/12/H17*1000</f>
        <v>3759.0327889064351</v>
      </c>
      <c r="I34" s="638"/>
      <c r="J34" s="638">
        <f>J26/12/J17*1000</f>
        <v>4744.1715435122651</v>
      </c>
      <c r="K34" s="638"/>
      <c r="L34" s="627">
        <f t="shared" si="0"/>
        <v>126.20724026438788</v>
      </c>
      <c r="M34" s="628"/>
      <c r="N34" s="627">
        <f t="shared" si="1"/>
        <v>136.4453910985894</v>
      </c>
      <c r="O34" s="628"/>
    </row>
    <row r="35" spans="1:15" ht="8.25" customHeight="1">
      <c r="A35" s="18"/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5.75" customHeight="1">
      <c r="A36" s="645" t="s">
        <v>910</v>
      </c>
      <c r="B36" s="645"/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</row>
    <row r="37" spans="1:15" ht="9" customHeight="1">
      <c r="A37" s="19"/>
      <c r="B37" s="19"/>
      <c r="C37" s="19"/>
      <c r="D37" s="19"/>
      <c r="E37" s="19"/>
      <c r="F37" s="19"/>
      <c r="G37" s="19"/>
      <c r="H37" s="19"/>
      <c r="I37" s="19"/>
    </row>
    <row r="38" spans="1:15" ht="21.95" customHeight="1">
      <c r="A38" s="646" t="s">
        <v>964</v>
      </c>
      <c r="B38" s="646"/>
      <c r="C38" s="646"/>
      <c r="D38" s="646"/>
      <c r="E38" s="646"/>
      <c r="F38" s="646"/>
      <c r="G38" s="646"/>
      <c r="H38" s="646"/>
      <c r="I38" s="646"/>
      <c r="J38" s="646"/>
    </row>
    <row r="39" spans="1:15" ht="6" customHeight="1">
      <c r="A39" s="15"/>
    </row>
    <row r="40" spans="1:15" ht="59.25" customHeight="1">
      <c r="A40" s="647" t="s">
        <v>965</v>
      </c>
      <c r="B40" s="648"/>
      <c r="C40" s="649"/>
      <c r="D40" s="567" t="s">
        <v>308</v>
      </c>
      <c r="E40" s="567"/>
      <c r="F40" s="567"/>
      <c r="G40" s="567" t="s">
        <v>309</v>
      </c>
      <c r="H40" s="567"/>
      <c r="I40" s="567"/>
      <c r="J40" s="558" t="s">
        <v>310</v>
      </c>
      <c r="K40" s="558"/>
      <c r="L40" s="558"/>
      <c r="M40" s="658"/>
      <c r="N40" s="658"/>
      <c r="O40" s="658"/>
    </row>
    <row r="41" spans="1:15" ht="159" customHeight="1">
      <c r="A41" s="650"/>
      <c r="B41" s="651"/>
      <c r="C41" s="652"/>
      <c r="D41" s="7" t="s">
        <v>911</v>
      </c>
      <c r="E41" s="7" t="s">
        <v>912</v>
      </c>
      <c r="F41" s="7" t="s">
        <v>913</v>
      </c>
      <c r="G41" s="7" t="s">
        <v>313</v>
      </c>
      <c r="H41" s="7" t="s">
        <v>912</v>
      </c>
      <c r="I41" s="7" t="s">
        <v>913</v>
      </c>
      <c r="J41" s="7" t="s">
        <v>312</v>
      </c>
      <c r="K41" s="7" t="s">
        <v>912</v>
      </c>
      <c r="L41" s="7" t="s">
        <v>913</v>
      </c>
      <c r="M41" s="47"/>
      <c r="N41" s="47"/>
      <c r="O41" s="47"/>
    </row>
    <row r="42" spans="1:15" ht="16.5" customHeight="1">
      <c r="A42" s="659">
        <v>1</v>
      </c>
      <c r="B42" s="660"/>
      <c r="C42" s="661"/>
      <c r="D42" s="110">
        <v>2</v>
      </c>
      <c r="E42" s="110">
        <v>3</v>
      </c>
      <c r="F42" s="110">
        <v>4</v>
      </c>
      <c r="G42" s="110">
        <v>2</v>
      </c>
      <c r="H42" s="110">
        <v>3</v>
      </c>
      <c r="I42" s="110">
        <v>4</v>
      </c>
      <c r="J42" s="110">
        <v>2</v>
      </c>
      <c r="K42" s="110">
        <v>3</v>
      </c>
      <c r="L42" s="110">
        <v>4</v>
      </c>
      <c r="M42" s="176"/>
      <c r="N42" s="176"/>
      <c r="O42" s="176"/>
    </row>
    <row r="43" spans="1:15" ht="16.5" customHeight="1">
      <c r="A43" s="654" t="s">
        <v>1035</v>
      </c>
      <c r="B43" s="542"/>
      <c r="C43" s="559"/>
      <c r="D43" s="94">
        <f>D44+D45</f>
        <v>64618.1</v>
      </c>
      <c r="E43" s="93">
        <f>E44+E45</f>
        <v>12280</v>
      </c>
      <c r="F43" s="110"/>
      <c r="G43" s="94">
        <f>G44+G45</f>
        <v>22857.697999999997</v>
      </c>
      <c r="H43" s="93">
        <f>H44+H45</f>
        <v>4553.8</v>
      </c>
      <c r="I43" s="110"/>
      <c r="J43" s="94">
        <f>J44+J45</f>
        <v>41853.252</v>
      </c>
      <c r="K43" s="94">
        <f>K44+K45</f>
        <v>7726.2</v>
      </c>
      <c r="L43" s="110"/>
      <c r="M43" s="176"/>
      <c r="N43" s="176"/>
      <c r="O43" s="176"/>
    </row>
    <row r="44" spans="1:15" ht="16.5" customHeight="1">
      <c r="A44" s="654" t="s">
        <v>1037</v>
      </c>
      <c r="B44" s="542"/>
      <c r="C44" s="559"/>
      <c r="D44" s="207">
        <v>51964.2</v>
      </c>
      <c r="E44" s="200">
        <f>H44+K44</f>
        <v>9780</v>
      </c>
      <c r="F44" s="656" t="s">
        <v>350</v>
      </c>
      <c r="G44" s="207">
        <f>D44-J44</f>
        <v>10110.947999999997</v>
      </c>
      <c r="H44" s="184">
        <f>9780-K44</f>
        <v>2053.8000000000002</v>
      </c>
      <c r="I44" s="656" t="s">
        <v>346</v>
      </c>
      <c r="J44" s="207">
        <f>1896*4.67+(1975+1927.6+1927.6)*5.66</f>
        <v>41853.252</v>
      </c>
      <c r="K44" s="207">
        <v>7726.2</v>
      </c>
      <c r="L44" s="110" t="s">
        <v>348</v>
      </c>
      <c r="M44" s="176"/>
      <c r="N44" s="176"/>
      <c r="O44" s="176"/>
    </row>
    <row r="45" spans="1:15" ht="16.5" customHeight="1">
      <c r="A45" s="654" t="s">
        <v>1039</v>
      </c>
      <c r="B45" s="542"/>
      <c r="C45" s="559"/>
      <c r="D45" s="207">
        <v>12653.9</v>
      </c>
      <c r="E45" s="200">
        <f>H45+K45</f>
        <v>2500</v>
      </c>
      <c r="F45" s="657"/>
      <c r="G45" s="207">
        <f>635*4.39+(635+615+615)*5.34</f>
        <v>12746.75</v>
      </c>
      <c r="H45" s="184">
        <v>2500</v>
      </c>
      <c r="I45" s="657"/>
      <c r="J45" s="110"/>
      <c r="K45" s="94"/>
      <c r="L45" s="110"/>
      <c r="M45" s="176"/>
      <c r="N45" s="176"/>
      <c r="O45" s="176"/>
    </row>
    <row r="46" spans="1:15" ht="16.5" customHeight="1">
      <c r="A46" s="654" t="s">
        <v>1041</v>
      </c>
      <c r="B46" s="542"/>
      <c r="C46" s="559"/>
      <c r="D46" s="94">
        <f>D47+D48</f>
        <v>67135.7</v>
      </c>
      <c r="E46" s="93">
        <f>E47+E48</f>
        <v>10860</v>
      </c>
      <c r="F46" s="110"/>
      <c r="G46" s="94">
        <f>G47+G48</f>
        <v>19877.400000000009</v>
      </c>
      <c r="H46" s="93">
        <f>H47+H48</f>
        <v>3362</v>
      </c>
      <c r="I46" s="110"/>
      <c r="J46" s="94">
        <f>J47+J48</f>
        <v>47317.899999999994</v>
      </c>
      <c r="K46" s="94">
        <f>K47+K48</f>
        <v>7498</v>
      </c>
      <c r="L46" s="110"/>
      <c r="M46" s="176"/>
      <c r="N46" s="176"/>
      <c r="O46" s="176"/>
    </row>
    <row r="47" spans="1:15" ht="20.100000000000001" customHeight="1">
      <c r="A47" s="654" t="s">
        <v>1037</v>
      </c>
      <c r="B47" s="542"/>
      <c r="C47" s="559"/>
      <c r="D47" s="207">
        <v>51024.800000000003</v>
      </c>
      <c r="E47" s="200">
        <f>H47+K47</f>
        <v>8150</v>
      </c>
      <c r="F47" s="656" t="s">
        <v>351</v>
      </c>
      <c r="G47" s="207">
        <f>D47-J47</f>
        <v>3706.9000000000087</v>
      </c>
      <c r="H47" s="184">
        <f>8150-K47</f>
        <v>652</v>
      </c>
      <c r="I47" s="656" t="s">
        <v>347</v>
      </c>
      <c r="J47" s="207">
        <f>2024*5.88+(1794+1840+1840)*6.47</f>
        <v>47317.899999999994</v>
      </c>
      <c r="K47" s="207">
        <v>7498</v>
      </c>
      <c r="L47" s="110" t="s">
        <v>349</v>
      </c>
      <c r="M47" s="139"/>
      <c r="N47" s="139"/>
      <c r="O47" s="177"/>
    </row>
    <row r="48" spans="1:15" ht="20.100000000000001" customHeight="1">
      <c r="A48" s="654" t="s">
        <v>1039</v>
      </c>
      <c r="B48" s="542"/>
      <c r="C48" s="559"/>
      <c r="D48" s="207">
        <v>16110.9</v>
      </c>
      <c r="E48" s="200">
        <f>H48+K48</f>
        <v>2710</v>
      </c>
      <c r="F48" s="657"/>
      <c r="G48" s="207">
        <f>680*5.54+(680+675+675)*6.11</f>
        <v>16170.5</v>
      </c>
      <c r="H48" s="184">
        <v>2710</v>
      </c>
      <c r="I48" s="657"/>
      <c r="J48" s="93"/>
      <c r="K48" s="94"/>
      <c r="L48" s="94"/>
      <c r="M48" s="139"/>
      <c r="N48" s="139"/>
      <c r="O48" s="177"/>
    </row>
    <row r="49" spans="1:15" ht="20.100000000000001" customHeight="1">
      <c r="A49" s="653" t="s">
        <v>717</v>
      </c>
      <c r="B49" s="547"/>
      <c r="C49" s="548"/>
      <c r="D49" s="199">
        <f>D43+D46</f>
        <v>131753.79999999999</v>
      </c>
      <c r="E49" s="93"/>
      <c r="F49" s="95"/>
      <c r="G49" s="199">
        <f>G43+G46</f>
        <v>42735.098000000005</v>
      </c>
      <c r="H49" s="93"/>
      <c r="I49" s="95"/>
      <c r="J49" s="199">
        <f>J43+J46</f>
        <v>89171.152000000002</v>
      </c>
      <c r="K49" s="94"/>
      <c r="L49" s="95"/>
      <c r="M49" s="139"/>
      <c r="N49" s="178"/>
      <c r="O49" s="179"/>
    </row>
    <row r="50" spans="1:15">
      <c r="A50" s="655" t="s">
        <v>311</v>
      </c>
      <c r="B50" s="655"/>
      <c r="C50" s="655"/>
      <c r="D50" s="655"/>
      <c r="E50" s="655"/>
      <c r="F50" s="655"/>
      <c r="G50" s="655"/>
      <c r="H50" s="655"/>
      <c r="I50" s="655"/>
      <c r="J50" s="655"/>
      <c r="K50" s="655"/>
      <c r="L50" s="655"/>
      <c r="M50" s="5"/>
      <c r="N50" s="5"/>
      <c r="O50" s="5"/>
    </row>
    <row r="51" spans="1:15" ht="21.95" customHeight="1">
      <c r="A51" s="662" t="s">
        <v>966</v>
      </c>
      <c r="B51" s="662"/>
      <c r="C51" s="662"/>
      <c r="D51" s="662"/>
      <c r="E51" s="662"/>
      <c r="F51" s="662"/>
      <c r="G51" s="662"/>
      <c r="H51" s="662"/>
      <c r="I51" s="662"/>
      <c r="J51" s="662"/>
      <c r="K51" s="662"/>
      <c r="L51" s="662"/>
      <c r="M51" s="662"/>
      <c r="N51" s="662"/>
      <c r="O51" s="662"/>
    </row>
    <row r="52" spans="1:15" ht="10.5" customHeight="1">
      <c r="A52" s="15"/>
    </row>
    <row r="53" spans="1:15" ht="63.95" customHeight="1">
      <c r="A53" s="7" t="s">
        <v>784</v>
      </c>
      <c r="B53" s="567" t="s">
        <v>734</v>
      </c>
      <c r="C53" s="567"/>
      <c r="D53" s="567" t="s">
        <v>729</v>
      </c>
      <c r="E53" s="567"/>
      <c r="F53" s="567" t="s">
        <v>730</v>
      </c>
      <c r="G53" s="567"/>
      <c r="H53" s="567" t="s">
        <v>914</v>
      </c>
      <c r="I53" s="567"/>
      <c r="J53" s="567"/>
      <c r="K53" s="653" t="s">
        <v>748</v>
      </c>
      <c r="L53" s="548"/>
      <c r="M53" s="653" t="s">
        <v>695</v>
      </c>
      <c r="N53" s="547"/>
      <c r="O53" s="548"/>
    </row>
    <row r="54" spans="1:15" ht="18" customHeight="1">
      <c r="A54" s="6">
        <v>1</v>
      </c>
      <c r="B54" s="557">
        <v>2</v>
      </c>
      <c r="C54" s="557"/>
      <c r="D54" s="557">
        <v>3</v>
      </c>
      <c r="E54" s="557"/>
      <c r="F54" s="663">
        <v>4</v>
      </c>
      <c r="G54" s="663"/>
      <c r="H54" s="557">
        <v>5</v>
      </c>
      <c r="I54" s="557"/>
      <c r="J54" s="557"/>
      <c r="K54" s="557">
        <v>6</v>
      </c>
      <c r="L54" s="557"/>
      <c r="M54" s="664">
        <v>7</v>
      </c>
      <c r="N54" s="665"/>
      <c r="O54" s="666"/>
    </row>
    <row r="55" spans="1:15" ht="20.100000000000001" customHeight="1">
      <c r="A55" s="8"/>
      <c r="B55" s="670"/>
      <c r="C55" s="670"/>
      <c r="D55" s="629"/>
      <c r="E55" s="629"/>
      <c r="F55" s="671"/>
      <c r="G55" s="671"/>
      <c r="H55" s="567"/>
      <c r="I55" s="567"/>
      <c r="J55" s="567"/>
      <c r="K55" s="625"/>
      <c r="L55" s="626"/>
      <c r="M55" s="670"/>
      <c r="N55" s="670"/>
      <c r="O55" s="670"/>
    </row>
    <row r="56" spans="1:15" ht="20.100000000000001" customHeight="1">
      <c r="A56" s="8"/>
      <c r="B56" s="667"/>
      <c r="C56" s="669"/>
      <c r="D56" s="625"/>
      <c r="E56" s="626"/>
      <c r="F56" s="675"/>
      <c r="G56" s="676"/>
      <c r="H56" s="653"/>
      <c r="I56" s="547"/>
      <c r="J56" s="548"/>
      <c r="K56" s="625"/>
      <c r="L56" s="626"/>
      <c r="M56" s="667"/>
      <c r="N56" s="668"/>
      <c r="O56" s="669"/>
    </row>
    <row r="57" spans="1:15" ht="20.100000000000001" customHeight="1">
      <c r="A57" s="8"/>
      <c r="B57" s="670"/>
      <c r="C57" s="670"/>
      <c r="D57" s="629"/>
      <c r="E57" s="629"/>
      <c r="F57" s="671"/>
      <c r="G57" s="671"/>
      <c r="H57" s="567"/>
      <c r="I57" s="567"/>
      <c r="J57" s="567"/>
      <c r="K57" s="625"/>
      <c r="L57" s="626"/>
      <c r="M57" s="670"/>
      <c r="N57" s="670"/>
      <c r="O57" s="670"/>
    </row>
    <row r="58" spans="1:15" ht="20.100000000000001" customHeight="1">
      <c r="A58" s="8" t="s">
        <v>717</v>
      </c>
      <c r="B58" s="567" t="s">
        <v>696</v>
      </c>
      <c r="C58" s="567"/>
      <c r="D58" s="567" t="s">
        <v>696</v>
      </c>
      <c r="E58" s="567"/>
      <c r="F58" s="567" t="s">
        <v>696</v>
      </c>
      <c r="G58" s="567"/>
      <c r="H58" s="567"/>
      <c r="I58" s="567"/>
      <c r="J58" s="567"/>
      <c r="K58" s="677">
        <f>SUM(K55:L57)</f>
        <v>0</v>
      </c>
      <c r="L58" s="678"/>
      <c r="M58" s="670"/>
      <c r="N58" s="670"/>
      <c r="O58" s="670"/>
    </row>
    <row r="59" spans="1:15" ht="14.25" customHeight="1">
      <c r="A59" s="11"/>
      <c r="B59" s="20"/>
      <c r="C59" s="20"/>
      <c r="D59" s="20"/>
      <c r="E59" s="20"/>
      <c r="F59" s="20"/>
      <c r="G59" s="20"/>
      <c r="H59" s="20"/>
      <c r="I59" s="20"/>
      <c r="J59" s="20"/>
      <c r="K59" s="2"/>
      <c r="L59" s="2"/>
      <c r="M59" s="2"/>
      <c r="N59" s="2"/>
      <c r="O59" s="2"/>
    </row>
    <row r="60" spans="1:15" ht="21.95" customHeight="1">
      <c r="A60" s="662" t="s">
        <v>967</v>
      </c>
      <c r="B60" s="662"/>
      <c r="C60" s="662"/>
      <c r="D60" s="662"/>
      <c r="E60" s="662"/>
      <c r="F60" s="662"/>
      <c r="G60" s="662"/>
      <c r="H60" s="662"/>
      <c r="I60" s="662"/>
      <c r="J60" s="662"/>
      <c r="K60" s="662"/>
      <c r="L60" s="662"/>
      <c r="M60" s="662"/>
      <c r="N60" s="662"/>
      <c r="O60" s="662"/>
    </row>
    <row r="61" spans="1:15" ht="12" customHeight="1">
      <c r="A61" s="5"/>
      <c r="B61" s="14"/>
      <c r="C61" s="5"/>
      <c r="D61" s="5"/>
      <c r="E61" s="5"/>
      <c r="F61" s="5"/>
      <c r="G61" s="5"/>
      <c r="H61" s="5"/>
      <c r="I61" s="13"/>
    </row>
    <row r="62" spans="1:15" ht="45" customHeight="1">
      <c r="A62" s="567" t="s">
        <v>728</v>
      </c>
      <c r="B62" s="567"/>
      <c r="C62" s="567"/>
      <c r="D62" s="567" t="s">
        <v>749</v>
      </c>
      <c r="E62" s="567"/>
      <c r="F62" s="567"/>
      <c r="G62" s="567" t="s">
        <v>934</v>
      </c>
      <c r="H62" s="567"/>
      <c r="I62" s="567"/>
      <c r="J62" s="567" t="s">
        <v>933</v>
      </c>
      <c r="K62" s="567"/>
      <c r="L62" s="567"/>
      <c r="M62" s="567" t="s">
        <v>750</v>
      </c>
      <c r="N62" s="567"/>
      <c r="O62" s="567"/>
    </row>
    <row r="63" spans="1:15" ht="18" customHeight="1">
      <c r="A63" s="567">
        <v>1</v>
      </c>
      <c r="B63" s="567"/>
      <c r="C63" s="567"/>
      <c r="D63" s="567">
        <v>2</v>
      </c>
      <c r="E63" s="567"/>
      <c r="F63" s="567"/>
      <c r="G63" s="567">
        <v>3</v>
      </c>
      <c r="H63" s="567"/>
      <c r="I63" s="567"/>
      <c r="J63" s="557">
        <v>4</v>
      </c>
      <c r="K63" s="557"/>
      <c r="L63" s="557"/>
      <c r="M63" s="557">
        <v>5</v>
      </c>
      <c r="N63" s="557"/>
      <c r="O63" s="557"/>
    </row>
    <row r="64" spans="1:15" ht="20.100000000000001" customHeight="1">
      <c r="A64" s="619" t="s">
        <v>915</v>
      </c>
      <c r="B64" s="619"/>
      <c r="C64" s="619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</row>
    <row r="65" spans="1:15" ht="15.75" customHeight="1">
      <c r="A65" s="672" t="s">
        <v>765</v>
      </c>
      <c r="B65" s="672"/>
      <c r="C65" s="672"/>
      <c r="D65" s="629"/>
      <c r="E65" s="629"/>
      <c r="F65" s="629"/>
      <c r="G65" s="629"/>
      <c r="H65" s="629"/>
      <c r="I65" s="629"/>
      <c r="J65" s="629"/>
      <c r="K65" s="629"/>
      <c r="L65" s="629"/>
      <c r="M65" s="629"/>
      <c r="N65" s="629"/>
      <c r="O65" s="629"/>
    </row>
    <row r="66" spans="1:15" ht="20.100000000000001" customHeight="1">
      <c r="A66" s="619"/>
      <c r="B66" s="619"/>
      <c r="C66" s="619"/>
      <c r="D66" s="625"/>
      <c r="E66" s="673"/>
      <c r="F66" s="626"/>
      <c r="G66" s="625"/>
      <c r="H66" s="673"/>
      <c r="I66" s="626"/>
      <c r="J66" s="625"/>
      <c r="K66" s="673"/>
      <c r="L66" s="626"/>
      <c r="M66" s="625"/>
      <c r="N66" s="673"/>
      <c r="O66" s="626"/>
    </row>
    <row r="67" spans="1:15" ht="20.100000000000001" customHeight="1">
      <c r="A67" s="619" t="s">
        <v>916</v>
      </c>
      <c r="B67" s="619"/>
      <c r="C67" s="619"/>
      <c r="D67" s="629"/>
      <c r="E67" s="629"/>
      <c r="F67" s="629"/>
      <c r="G67" s="629"/>
      <c r="H67" s="629"/>
      <c r="I67" s="629"/>
      <c r="J67" s="629"/>
      <c r="K67" s="629"/>
      <c r="L67" s="629"/>
      <c r="M67" s="629"/>
      <c r="N67" s="629"/>
      <c r="O67" s="629"/>
    </row>
    <row r="68" spans="1:15" ht="15.75" customHeight="1">
      <c r="A68" s="672" t="s">
        <v>947</v>
      </c>
      <c r="B68" s="672"/>
      <c r="C68" s="672"/>
      <c r="D68" s="629"/>
      <c r="E68" s="629"/>
      <c r="F68" s="629"/>
      <c r="G68" s="629"/>
      <c r="H68" s="629"/>
      <c r="I68" s="629"/>
      <c r="J68" s="629"/>
      <c r="K68" s="629"/>
      <c r="L68" s="629"/>
      <c r="M68" s="629"/>
      <c r="N68" s="629"/>
      <c r="O68" s="629"/>
    </row>
    <row r="69" spans="1:15" ht="20.100000000000001" customHeight="1">
      <c r="A69" s="619"/>
      <c r="B69" s="619"/>
      <c r="C69" s="619"/>
      <c r="D69" s="625"/>
      <c r="E69" s="673"/>
      <c r="F69" s="626"/>
      <c r="G69" s="625"/>
      <c r="H69" s="673"/>
      <c r="I69" s="626"/>
      <c r="J69" s="625"/>
      <c r="K69" s="673"/>
      <c r="L69" s="626"/>
      <c r="M69" s="625"/>
      <c r="N69" s="673"/>
      <c r="O69" s="626"/>
    </row>
    <row r="70" spans="1:15" ht="20.100000000000001" customHeight="1">
      <c r="A70" s="619" t="s">
        <v>917</v>
      </c>
      <c r="B70" s="619"/>
      <c r="C70" s="619"/>
      <c r="D70" s="629"/>
      <c r="E70" s="629"/>
      <c r="F70" s="629"/>
      <c r="G70" s="629"/>
      <c r="H70" s="629"/>
      <c r="I70" s="629"/>
      <c r="J70" s="629"/>
      <c r="K70" s="629"/>
      <c r="L70" s="629"/>
      <c r="M70" s="629"/>
      <c r="N70" s="629"/>
      <c r="O70" s="629"/>
    </row>
    <row r="71" spans="1:15" ht="15.75" customHeight="1">
      <c r="A71" s="672" t="s">
        <v>765</v>
      </c>
      <c r="B71" s="672"/>
      <c r="C71" s="672"/>
      <c r="D71" s="629"/>
      <c r="E71" s="629"/>
      <c r="F71" s="629"/>
      <c r="G71" s="629"/>
      <c r="H71" s="629"/>
      <c r="I71" s="629"/>
      <c r="J71" s="629"/>
      <c r="K71" s="629"/>
      <c r="L71" s="629"/>
      <c r="M71" s="629"/>
      <c r="N71" s="629"/>
      <c r="O71" s="629"/>
    </row>
    <row r="72" spans="1:15" ht="20.100000000000001" customHeight="1">
      <c r="A72" s="654"/>
      <c r="B72" s="542"/>
      <c r="C72" s="559"/>
      <c r="D72" s="629"/>
      <c r="E72" s="629"/>
      <c r="F72" s="629"/>
      <c r="G72" s="629"/>
      <c r="H72" s="629"/>
      <c r="I72" s="629"/>
      <c r="J72" s="629"/>
      <c r="K72" s="629"/>
      <c r="L72" s="629"/>
      <c r="M72" s="629"/>
      <c r="N72" s="629"/>
      <c r="O72" s="629"/>
    </row>
    <row r="73" spans="1:15" ht="20.100000000000001" customHeight="1">
      <c r="A73" s="654" t="s">
        <v>717</v>
      </c>
      <c r="B73" s="542"/>
      <c r="C73" s="559"/>
      <c r="D73" s="674"/>
      <c r="E73" s="674"/>
      <c r="F73" s="674"/>
      <c r="G73" s="674"/>
      <c r="H73" s="674"/>
      <c r="I73" s="674"/>
      <c r="J73" s="629"/>
      <c r="K73" s="629"/>
      <c r="L73" s="629"/>
      <c r="M73" s="629"/>
      <c r="N73" s="629"/>
      <c r="O73" s="629"/>
    </row>
    <row r="74" spans="1:15">
      <c r="C74" s="26"/>
      <c r="D74" s="26"/>
      <c r="E74" s="26"/>
    </row>
    <row r="75" spans="1:15">
      <c r="C75" s="26"/>
      <c r="D75" s="26"/>
      <c r="E75" s="26"/>
    </row>
    <row r="76" spans="1:15">
      <c r="C76" s="26"/>
      <c r="D76" s="26"/>
      <c r="E76" s="26"/>
    </row>
    <row r="77" spans="1:15">
      <c r="C77" s="26"/>
      <c r="D77" s="26"/>
      <c r="E77" s="26"/>
    </row>
    <row r="78" spans="1:15">
      <c r="C78" s="26"/>
      <c r="D78" s="26"/>
      <c r="E78" s="26"/>
    </row>
    <row r="79" spans="1:15">
      <c r="C79" s="26"/>
      <c r="D79" s="26"/>
      <c r="E79" s="26"/>
    </row>
    <row r="80" spans="1:15">
      <c r="C80" s="26"/>
      <c r="D80" s="26"/>
      <c r="E80" s="26"/>
    </row>
    <row r="81" spans="3:5">
      <c r="C81" s="26"/>
      <c r="D81" s="26"/>
      <c r="E81" s="26"/>
    </row>
    <row r="82" spans="3:5">
      <c r="C82" s="26"/>
      <c r="D82" s="26"/>
      <c r="E82" s="26"/>
    </row>
    <row r="83" spans="3:5">
      <c r="C83" s="26"/>
      <c r="D83" s="26"/>
      <c r="E83" s="26"/>
    </row>
    <row r="84" spans="3:5">
      <c r="C84" s="26"/>
      <c r="D84" s="26"/>
      <c r="E84" s="26"/>
    </row>
    <row r="85" spans="3:5">
      <c r="C85" s="26"/>
      <c r="D85" s="26"/>
      <c r="E85" s="26"/>
    </row>
    <row r="86" spans="3:5">
      <c r="C86" s="26"/>
      <c r="D86" s="26"/>
      <c r="E86" s="26"/>
    </row>
    <row r="87" spans="3:5">
      <c r="C87" s="26"/>
      <c r="D87" s="26"/>
      <c r="E87" s="26"/>
    </row>
  </sheetData>
  <mergeCells count="306">
    <mergeCell ref="N34:O34"/>
    <mergeCell ref="A34:C34"/>
    <mergeCell ref="D34:E34"/>
    <mergeCell ref="F34:G34"/>
    <mergeCell ref="H34:I34"/>
    <mergeCell ref="J34:K34"/>
    <mergeCell ref="L34:M34"/>
    <mergeCell ref="J33:K33"/>
    <mergeCell ref="L33:M33"/>
    <mergeCell ref="N33:O33"/>
    <mergeCell ref="A32:C32"/>
    <mergeCell ref="D32:E32"/>
    <mergeCell ref="A33:C33"/>
    <mergeCell ref="D33:E33"/>
    <mergeCell ref="F33:G33"/>
    <mergeCell ref="H33:I33"/>
    <mergeCell ref="F32:G32"/>
    <mergeCell ref="H32:I32"/>
    <mergeCell ref="J32:K32"/>
    <mergeCell ref="N32:O32"/>
    <mergeCell ref="D31:E31"/>
    <mergeCell ref="F31:G31"/>
    <mergeCell ref="H31:I31"/>
    <mergeCell ref="J31:K31"/>
    <mergeCell ref="L32:M32"/>
    <mergeCell ref="L31:M31"/>
    <mergeCell ref="N31:O31"/>
    <mergeCell ref="J28:K28"/>
    <mergeCell ref="J30:K30"/>
    <mergeCell ref="L30:M30"/>
    <mergeCell ref="H30:I30"/>
    <mergeCell ref="H29:I29"/>
    <mergeCell ref="J29:K29"/>
    <mergeCell ref="A31:C31"/>
    <mergeCell ref="A30:C30"/>
    <mergeCell ref="D30:E30"/>
    <mergeCell ref="F30:G30"/>
    <mergeCell ref="N30:O30"/>
    <mergeCell ref="L28:M28"/>
    <mergeCell ref="L29:M29"/>
    <mergeCell ref="N29:O29"/>
    <mergeCell ref="N28:O28"/>
    <mergeCell ref="H28:I28"/>
    <mergeCell ref="A29:C29"/>
    <mergeCell ref="A28:C28"/>
    <mergeCell ref="D28:E28"/>
    <mergeCell ref="A26:C26"/>
    <mergeCell ref="D26:E26"/>
    <mergeCell ref="D29:E29"/>
    <mergeCell ref="A27:C27"/>
    <mergeCell ref="D27:E27"/>
    <mergeCell ref="F29:G29"/>
    <mergeCell ref="J27:K27"/>
    <mergeCell ref="F28:G28"/>
    <mergeCell ref="N26:O26"/>
    <mergeCell ref="F27:G27"/>
    <mergeCell ref="H27:I27"/>
    <mergeCell ref="F26:G26"/>
    <mergeCell ref="H26:I26"/>
    <mergeCell ref="J26:K26"/>
    <mergeCell ref="L26:M26"/>
    <mergeCell ref="L27:M27"/>
    <mergeCell ref="N27:O27"/>
    <mergeCell ref="N24:O24"/>
    <mergeCell ref="A25:C25"/>
    <mergeCell ref="D25:E25"/>
    <mergeCell ref="F25:G25"/>
    <mergeCell ref="H25:I25"/>
    <mergeCell ref="J25:K25"/>
    <mergeCell ref="L25:M25"/>
    <mergeCell ref="N25:O25"/>
    <mergeCell ref="L23:M23"/>
    <mergeCell ref="J23:K23"/>
    <mergeCell ref="F24:G24"/>
    <mergeCell ref="H24:I24"/>
    <mergeCell ref="J24:K24"/>
    <mergeCell ref="F23:G23"/>
    <mergeCell ref="H23:I23"/>
    <mergeCell ref="M68:O68"/>
    <mergeCell ref="M69:O69"/>
    <mergeCell ref="J69:L69"/>
    <mergeCell ref="J70:L70"/>
    <mergeCell ref="M70:O70"/>
    <mergeCell ref="D22:E22"/>
    <mergeCell ref="F22:G22"/>
    <mergeCell ref="H22:I22"/>
    <mergeCell ref="J22:K22"/>
    <mergeCell ref="D24:E24"/>
    <mergeCell ref="J66:L66"/>
    <mergeCell ref="J64:L64"/>
    <mergeCell ref="H57:J57"/>
    <mergeCell ref="K58:L58"/>
    <mergeCell ref="A68:C68"/>
    <mergeCell ref="D68:F68"/>
    <mergeCell ref="G68:I68"/>
    <mergeCell ref="A66:C66"/>
    <mergeCell ref="D66:F66"/>
    <mergeCell ref="A67:C67"/>
    <mergeCell ref="M73:O73"/>
    <mergeCell ref="M71:O71"/>
    <mergeCell ref="A71:C71"/>
    <mergeCell ref="A72:C72"/>
    <mergeCell ref="D72:F72"/>
    <mergeCell ref="G72:I72"/>
    <mergeCell ref="M72:O72"/>
    <mergeCell ref="J71:L71"/>
    <mergeCell ref="J72:L72"/>
    <mergeCell ref="G71:I71"/>
    <mergeCell ref="J68:L68"/>
    <mergeCell ref="D67:F67"/>
    <mergeCell ref="A64:C64"/>
    <mergeCell ref="J73:L73"/>
    <mergeCell ref="A70:C70"/>
    <mergeCell ref="D70:F70"/>
    <mergeCell ref="G70:I70"/>
    <mergeCell ref="G69:I69"/>
    <mergeCell ref="A69:C69"/>
    <mergeCell ref="D69:F69"/>
    <mergeCell ref="A73:C73"/>
    <mergeCell ref="D73:F73"/>
    <mergeCell ref="G73:I73"/>
    <mergeCell ref="D65:F65"/>
    <mergeCell ref="G65:I65"/>
    <mergeCell ref="G67:I67"/>
    <mergeCell ref="D71:F71"/>
    <mergeCell ref="M67:O67"/>
    <mergeCell ref="J67:L67"/>
    <mergeCell ref="J65:L65"/>
    <mergeCell ref="M65:O65"/>
    <mergeCell ref="H58:J58"/>
    <mergeCell ref="G63:I63"/>
    <mergeCell ref="A60:O60"/>
    <mergeCell ref="A62:C62"/>
    <mergeCell ref="A63:C63"/>
    <mergeCell ref="M64:O64"/>
    <mergeCell ref="J62:L62"/>
    <mergeCell ref="M66:O66"/>
    <mergeCell ref="G66:I66"/>
    <mergeCell ref="D63:F63"/>
    <mergeCell ref="M63:O63"/>
    <mergeCell ref="M58:O58"/>
    <mergeCell ref="M62:O62"/>
    <mergeCell ref="J63:L63"/>
    <mergeCell ref="D64:F64"/>
    <mergeCell ref="G64:I64"/>
    <mergeCell ref="D57:E57"/>
    <mergeCell ref="F57:G57"/>
    <mergeCell ref="A65:C65"/>
    <mergeCell ref="B55:C55"/>
    <mergeCell ref="F55:G55"/>
    <mergeCell ref="D62:F62"/>
    <mergeCell ref="G62:I62"/>
    <mergeCell ref="F56:G56"/>
    <mergeCell ref="H56:J56"/>
    <mergeCell ref="H55:J55"/>
    <mergeCell ref="K55:L55"/>
    <mergeCell ref="D54:E54"/>
    <mergeCell ref="B58:C58"/>
    <mergeCell ref="D58:E58"/>
    <mergeCell ref="F58:G58"/>
    <mergeCell ref="B57:C57"/>
    <mergeCell ref="B56:C56"/>
    <mergeCell ref="D56:E56"/>
    <mergeCell ref="D55:E55"/>
    <mergeCell ref="M54:O54"/>
    <mergeCell ref="K54:L54"/>
    <mergeCell ref="M56:O56"/>
    <mergeCell ref="K57:L57"/>
    <mergeCell ref="K53:L53"/>
    <mergeCell ref="M53:O53"/>
    <mergeCell ref="M55:O55"/>
    <mergeCell ref="M57:O57"/>
    <mergeCell ref="K56:L56"/>
    <mergeCell ref="B53:C53"/>
    <mergeCell ref="D53:E53"/>
    <mergeCell ref="F53:G53"/>
    <mergeCell ref="F54:G54"/>
    <mergeCell ref="H54:J54"/>
    <mergeCell ref="H53:J53"/>
    <mergeCell ref="M40:O40"/>
    <mergeCell ref="A42:C42"/>
    <mergeCell ref="A47:C47"/>
    <mergeCell ref="A48:C48"/>
    <mergeCell ref="I47:I48"/>
    <mergeCell ref="A51:O51"/>
    <mergeCell ref="B54:C54"/>
    <mergeCell ref="A49:C49"/>
    <mergeCell ref="A43:C43"/>
    <mergeCell ref="A44:C44"/>
    <mergeCell ref="A45:C45"/>
    <mergeCell ref="A46:C46"/>
    <mergeCell ref="A50:L50"/>
    <mergeCell ref="F44:F45"/>
    <mergeCell ref="F47:F48"/>
    <mergeCell ref="I44:I45"/>
    <mergeCell ref="A38:J38"/>
    <mergeCell ref="D40:F40"/>
    <mergeCell ref="G40:I40"/>
    <mergeCell ref="J40:L40"/>
    <mergeCell ref="A40:C41"/>
    <mergeCell ref="A20:C20"/>
    <mergeCell ref="D20:E20"/>
    <mergeCell ref="L22:M22"/>
    <mergeCell ref="A24:C24"/>
    <mergeCell ref="L24:M24"/>
    <mergeCell ref="A23:C23"/>
    <mergeCell ref="A36:O36"/>
    <mergeCell ref="D21:E21"/>
    <mergeCell ref="F21:G21"/>
    <mergeCell ref="H21:I21"/>
    <mergeCell ref="J21:K21"/>
    <mergeCell ref="D23:E23"/>
    <mergeCell ref="N23:O23"/>
    <mergeCell ref="A21:C21"/>
    <mergeCell ref="N22:O22"/>
    <mergeCell ref="A22:C22"/>
    <mergeCell ref="L19:M19"/>
    <mergeCell ref="J19:K19"/>
    <mergeCell ref="F20:G20"/>
    <mergeCell ref="H20:I20"/>
    <mergeCell ref="H19:I19"/>
    <mergeCell ref="J20:K20"/>
    <mergeCell ref="F19:G19"/>
    <mergeCell ref="A19:C19"/>
    <mergeCell ref="D19:E19"/>
    <mergeCell ref="N14:O14"/>
    <mergeCell ref="N19:O19"/>
    <mergeCell ref="L21:M21"/>
    <mergeCell ref="N21:O21"/>
    <mergeCell ref="L20:M20"/>
    <mergeCell ref="N20:O20"/>
    <mergeCell ref="N16:O16"/>
    <mergeCell ref="L18:M18"/>
    <mergeCell ref="N18:O18"/>
    <mergeCell ref="N17:O17"/>
    <mergeCell ref="L16:M16"/>
    <mergeCell ref="L15:M15"/>
    <mergeCell ref="N10:O10"/>
    <mergeCell ref="H11:I11"/>
    <mergeCell ref="J11:K11"/>
    <mergeCell ref="J12:K12"/>
    <mergeCell ref="L12:M12"/>
    <mergeCell ref="H10:I10"/>
    <mergeCell ref="N11:O11"/>
    <mergeCell ref="N12:O12"/>
    <mergeCell ref="L11:M11"/>
    <mergeCell ref="A18:C18"/>
    <mergeCell ref="J16:K16"/>
    <mergeCell ref="D17:E17"/>
    <mergeCell ref="F17:G17"/>
    <mergeCell ref="H18:I18"/>
    <mergeCell ref="A16:C16"/>
    <mergeCell ref="H17:I17"/>
    <mergeCell ref="H16:I16"/>
    <mergeCell ref="J18:K18"/>
    <mergeCell ref="J17:K17"/>
    <mergeCell ref="D18:E18"/>
    <mergeCell ref="F18:G18"/>
    <mergeCell ref="F15:G15"/>
    <mergeCell ref="J15:K15"/>
    <mergeCell ref="H15:I15"/>
    <mergeCell ref="A17:C17"/>
    <mergeCell ref="F16:G16"/>
    <mergeCell ref="A4:O4"/>
    <mergeCell ref="A7:O7"/>
    <mergeCell ref="J9:K9"/>
    <mergeCell ref="H9:I9"/>
    <mergeCell ref="D15:E15"/>
    <mergeCell ref="A15:C15"/>
    <mergeCell ref="L9:M9"/>
    <mergeCell ref="N15:O15"/>
    <mergeCell ref="F13:G13"/>
    <mergeCell ref="H13:I13"/>
    <mergeCell ref="D12:E12"/>
    <mergeCell ref="F12:G12"/>
    <mergeCell ref="L17:M17"/>
    <mergeCell ref="D16:E16"/>
    <mergeCell ref="L14:M14"/>
    <mergeCell ref="H12:I12"/>
    <mergeCell ref="D10:E10"/>
    <mergeCell ref="F10:G10"/>
    <mergeCell ref="D11:E11"/>
    <mergeCell ref="A10:C10"/>
    <mergeCell ref="F11:G11"/>
    <mergeCell ref="A11:C11"/>
    <mergeCell ref="A12:C12"/>
    <mergeCell ref="A5:O5"/>
    <mergeCell ref="A14:C14"/>
    <mergeCell ref="D14:E14"/>
    <mergeCell ref="N9:O9"/>
    <mergeCell ref="L10:M10"/>
    <mergeCell ref="N13:O13"/>
    <mergeCell ref="F14:G14"/>
    <mergeCell ref="J14:K14"/>
    <mergeCell ref="J13:K13"/>
    <mergeCell ref="L13:M13"/>
    <mergeCell ref="J10:K10"/>
    <mergeCell ref="H14:I14"/>
    <mergeCell ref="A13:C13"/>
    <mergeCell ref="D13:E13"/>
    <mergeCell ref="A1:O1"/>
    <mergeCell ref="A2:O2"/>
    <mergeCell ref="A3:O3"/>
    <mergeCell ref="D9:E9"/>
    <mergeCell ref="F9:G9"/>
    <mergeCell ref="A9:C9"/>
  </mergeCells>
  <phoneticPr fontId="3" type="noConversion"/>
  <pageMargins left="0.19685039370078741" right="0" top="0.59055118110236227" bottom="0" header="0.27559055118110237" footer="0.15748031496062992"/>
  <pageSetup paperSize="9" scale="60" orientation="landscape" horizontalDpi="1200" verticalDpi="1200" r:id="rId1"/>
  <headerFooter alignWithMargins="0"/>
  <rowBreaks count="1" manualBreakCount="1">
    <brk id="37" max="14" man="1"/>
  </rowBreaks>
  <ignoredErrors>
    <ignoredError sqref="L14:O15 L17:O34 M16:O16 L11:O12" evalError="1"/>
    <ignoredError sqref="E49:F4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AE185"/>
  <sheetViews>
    <sheetView view="pageBreakPreview" topLeftCell="A139" zoomScale="70" zoomScaleNormal="75" zoomScaleSheetLayoutView="70" workbookViewId="0">
      <selection activeCell="B43" sqref="B43:F43"/>
    </sheetView>
  </sheetViews>
  <sheetFormatPr defaultRowHeight="18.75"/>
  <cols>
    <col min="1" max="1" width="3.42578125" style="1" customWidth="1"/>
    <col min="2" max="2" width="18.28515625" style="1" customWidth="1"/>
    <col min="3" max="3" width="6.7109375" style="1" customWidth="1"/>
    <col min="4" max="4" width="5.140625" style="1" customWidth="1"/>
    <col min="5" max="5" width="5.85546875" style="1" customWidth="1"/>
    <col min="6" max="6" width="5.7109375" style="1" customWidth="1"/>
    <col min="7" max="7" width="13.140625" style="1" customWidth="1"/>
    <col min="8" max="8" width="10" style="1" customWidth="1"/>
    <col min="9" max="9" width="10.140625" style="1" customWidth="1"/>
    <col min="10" max="10" width="9.5703125" style="1" customWidth="1"/>
    <col min="11" max="11" width="9.85546875" style="1" customWidth="1"/>
    <col min="12" max="12" width="5.85546875" style="1" customWidth="1"/>
    <col min="13" max="13" width="5.5703125" style="1" customWidth="1"/>
    <col min="14" max="14" width="6.42578125" style="1" customWidth="1"/>
    <col min="15" max="15" width="3.42578125" style="1" customWidth="1"/>
    <col min="16" max="16" width="6.140625" style="1" customWidth="1"/>
    <col min="17" max="17" width="4.7109375" style="1" customWidth="1"/>
    <col min="18" max="18" width="6.140625" style="1" customWidth="1"/>
    <col min="19" max="19" width="5.140625" style="1" customWidth="1"/>
    <col min="20" max="20" width="6.28515625" style="1" customWidth="1"/>
    <col min="21" max="21" width="5.28515625" style="1" customWidth="1"/>
    <col min="22" max="22" width="8" style="1" customWidth="1"/>
    <col min="23" max="23" width="7.28515625" style="1" customWidth="1"/>
    <col min="24" max="24" width="6.5703125" style="1" customWidth="1"/>
    <col min="25" max="25" width="6.42578125" style="1" customWidth="1"/>
    <col min="26" max="26" width="5.42578125" style="1" customWidth="1"/>
    <col min="27" max="27" width="7.140625" style="1" customWidth="1"/>
    <col min="28" max="28" width="5.28515625" style="1" customWidth="1"/>
    <col min="29" max="29" width="5.140625" style="1" customWidth="1"/>
    <col min="30" max="31" width="5.85546875" style="1" customWidth="1"/>
    <col min="32" max="16384" width="9.140625" style="1"/>
  </cols>
  <sheetData>
    <row r="1" spans="1:31" ht="6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Q1" s="25"/>
      <c r="R1" s="25"/>
      <c r="S1" s="25"/>
      <c r="T1" s="25"/>
      <c r="U1" s="25"/>
      <c r="AB1" s="758"/>
      <c r="AC1" s="759"/>
      <c r="AD1" s="759"/>
      <c r="AE1" s="759"/>
    </row>
    <row r="2" spans="1:31" ht="24" customHeight="1">
      <c r="B2" s="34" t="s">
        <v>1026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1" ht="8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ht="16.5" customHeight="1">
      <c r="A4" s="782" t="s">
        <v>713</v>
      </c>
      <c r="B4" s="553" t="s">
        <v>830</v>
      </c>
      <c r="C4" s="647" t="s">
        <v>831</v>
      </c>
      <c r="D4" s="648"/>
      <c r="E4" s="648"/>
      <c r="F4" s="649"/>
      <c r="G4" s="647" t="s">
        <v>929</v>
      </c>
      <c r="H4" s="648"/>
      <c r="I4" s="648"/>
      <c r="J4" s="648"/>
      <c r="K4" s="648"/>
      <c r="L4" s="649"/>
      <c r="M4" s="647" t="s">
        <v>832</v>
      </c>
      <c r="N4" s="648"/>
      <c r="O4" s="648"/>
      <c r="P4" s="649"/>
      <c r="Q4" s="664" t="s">
        <v>896</v>
      </c>
      <c r="R4" s="665"/>
      <c r="S4" s="665"/>
      <c r="T4" s="665"/>
      <c r="U4" s="665"/>
      <c r="V4" s="665"/>
      <c r="W4" s="665"/>
      <c r="X4" s="665"/>
      <c r="Y4" s="665"/>
      <c r="Z4" s="665"/>
      <c r="AA4" s="665"/>
      <c r="AB4" s="665"/>
      <c r="AC4" s="665"/>
      <c r="AD4" s="665"/>
      <c r="AE4" s="666"/>
    </row>
    <row r="5" spans="1:31" ht="39.75" customHeight="1">
      <c r="A5" s="783"/>
      <c r="B5" s="554"/>
      <c r="C5" s="650"/>
      <c r="D5" s="651"/>
      <c r="E5" s="651"/>
      <c r="F5" s="652"/>
      <c r="G5" s="650"/>
      <c r="H5" s="651"/>
      <c r="I5" s="651"/>
      <c r="J5" s="651"/>
      <c r="K5" s="651"/>
      <c r="L5" s="652"/>
      <c r="M5" s="650"/>
      <c r="N5" s="651"/>
      <c r="O5" s="651"/>
      <c r="P5" s="652"/>
      <c r="Q5" s="653" t="s">
        <v>833</v>
      </c>
      <c r="R5" s="547"/>
      <c r="S5" s="548"/>
      <c r="T5" s="653" t="s">
        <v>834</v>
      </c>
      <c r="U5" s="547"/>
      <c r="V5" s="548"/>
      <c r="W5" s="653" t="s">
        <v>701</v>
      </c>
      <c r="X5" s="547"/>
      <c r="Y5" s="548"/>
      <c r="Z5" s="664" t="s">
        <v>835</v>
      </c>
      <c r="AA5" s="665"/>
      <c r="AB5" s="666"/>
      <c r="AC5" s="664" t="s">
        <v>836</v>
      </c>
      <c r="AD5" s="665"/>
      <c r="AE5" s="666"/>
    </row>
    <row r="6" spans="1:31" ht="9.75" customHeight="1">
      <c r="A6" s="128">
        <v>1</v>
      </c>
      <c r="B6" s="129">
        <v>2</v>
      </c>
      <c r="C6" s="729">
        <v>3</v>
      </c>
      <c r="D6" s="778"/>
      <c r="E6" s="778"/>
      <c r="F6" s="730"/>
      <c r="G6" s="729">
        <v>4</v>
      </c>
      <c r="H6" s="778"/>
      <c r="I6" s="778"/>
      <c r="J6" s="778"/>
      <c r="K6" s="778"/>
      <c r="L6" s="730"/>
      <c r="M6" s="729">
        <v>5</v>
      </c>
      <c r="N6" s="778"/>
      <c r="O6" s="778"/>
      <c r="P6" s="730"/>
      <c r="Q6" s="729">
        <v>6</v>
      </c>
      <c r="R6" s="778"/>
      <c r="S6" s="730"/>
      <c r="T6" s="729">
        <v>7</v>
      </c>
      <c r="U6" s="778"/>
      <c r="V6" s="730"/>
      <c r="W6" s="760">
        <v>8</v>
      </c>
      <c r="X6" s="761"/>
      <c r="Y6" s="762"/>
      <c r="Z6" s="760">
        <v>9</v>
      </c>
      <c r="AA6" s="761"/>
      <c r="AB6" s="762"/>
      <c r="AC6" s="760">
        <v>10</v>
      </c>
      <c r="AD6" s="761"/>
      <c r="AE6" s="762"/>
    </row>
    <row r="7" spans="1:31" ht="17.25" customHeight="1">
      <c r="A7" s="57"/>
      <c r="B7" s="58" t="s">
        <v>448</v>
      </c>
      <c r="C7" s="767"/>
      <c r="D7" s="768"/>
      <c r="E7" s="768"/>
      <c r="F7" s="769"/>
      <c r="G7" s="784" t="s">
        <v>450</v>
      </c>
      <c r="H7" s="785"/>
      <c r="I7" s="785"/>
      <c r="J7" s="785"/>
      <c r="K7" s="785"/>
      <c r="L7" s="786"/>
      <c r="M7" s="731">
        <f>SUM(Q7,T7,W7,Z7,AC7)</f>
        <v>43.2</v>
      </c>
      <c r="N7" s="777"/>
      <c r="O7" s="777"/>
      <c r="P7" s="732"/>
      <c r="Q7" s="753">
        <f ca="1">'I. Фін результат'!F55-Q8</f>
        <v>43.2</v>
      </c>
      <c r="R7" s="776"/>
      <c r="S7" s="754"/>
      <c r="T7" s="779"/>
      <c r="U7" s="780"/>
      <c r="V7" s="781"/>
      <c r="W7" s="779"/>
      <c r="X7" s="780"/>
      <c r="Y7" s="781"/>
      <c r="Z7" s="779"/>
      <c r="AA7" s="780"/>
      <c r="AB7" s="781"/>
      <c r="AC7" s="779"/>
      <c r="AD7" s="780"/>
      <c r="AE7" s="781"/>
    </row>
    <row r="8" spans="1:31" ht="17.25" customHeight="1">
      <c r="A8" s="57"/>
      <c r="B8" s="58" t="s">
        <v>449</v>
      </c>
      <c r="C8" s="767"/>
      <c r="D8" s="768"/>
      <c r="E8" s="768"/>
      <c r="F8" s="769"/>
      <c r="G8" s="787"/>
      <c r="H8" s="788"/>
      <c r="I8" s="788"/>
      <c r="J8" s="788"/>
      <c r="K8" s="788"/>
      <c r="L8" s="789"/>
      <c r="M8" s="731">
        <f>SUM(Q8,T8,W8,Z8,AC8)</f>
        <v>100.8</v>
      </c>
      <c r="N8" s="777"/>
      <c r="O8" s="777"/>
      <c r="P8" s="732"/>
      <c r="Q8" s="753">
        <f ca="1">0.7*'I. Фін результат'!F55</f>
        <v>100.8</v>
      </c>
      <c r="R8" s="776"/>
      <c r="S8" s="754"/>
      <c r="T8" s="779"/>
      <c r="U8" s="780"/>
      <c r="V8" s="781"/>
      <c r="W8" s="779"/>
      <c r="X8" s="780"/>
      <c r="Y8" s="781"/>
      <c r="Z8" s="779"/>
      <c r="AA8" s="780"/>
      <c r="AB8" s="781"/>
      <c r="AC8" s="779"/>
      <c r="AD8" s="780"/>
      <c r="AE8" s="781"/>
    </row>
    <row r="9" spans="1:31" ht="17.25" hidden="1" customHeight="1">
      <c r="A9" s="57"/>
      <c r="B9" s="58"/>
      <c r="C9" s="767"/>
      <c r="D9" s="768"/>
      <c r="E9" s="768"/>
      <c r="F9" s="769"/>
      <c r="G9" s="770"/>
      <c r="H9" s="771"/>
      <c r="I9" s="771"/>
      <c r="J9" s="771"/>
      <c r="K9" s="771"/>
      <c r="L9" s="772"/>
      <c r="M9" s="773">
        <f>SUM(Q9,T9,W9,Z9,AC9)</f>
        <v>0</v>
      </c>
      <c r="N9" s="774"/>
      <c r="O9" s="774"/>
      <c r="P9" s="775"/>
      <c r="Q9" s="779"/>
      <c r="R9" s="780"/>
      <c r="S9" s="781"/>
      <c r="T9" s="779"/>
      <c r="U9" s="780"/>
      <c r="V9" s="781"/>
      <c r="W9" s="779"/>
      <c r="X9" s="780"/>
      <c r="Y9" s="781"/>
      <c r="Z9" s="779"/>
      <c r="AA9" s="780"/>
      <c r="AB9" s="781"/>
      <c r="AC9" s="779"/>
      <c r="AD9" s="780"/>
      <c r="AE9" s="781"/>
    </row>
    <row r="10" spans="1:31" ht="18.75" hidden="1" customHeight="1">
      <c r="A10" s="57"/>
      <c r="B10" s="58"/>
      <c r="C10" s="767"/>
      <c r="D10" s="768"/>
      <c r="E10" s="768"/>
      <c r="F10" s="769"/>
      <c r="G10" s="770"/>
      <c r="H10" s="771"/>
      <c r="I10" s="771"/>
      <c r="J10" s="771"/>
      <c r="K10" s="771"/>
      <c r="L10" s="772"/>
      <c r="M10" s="773">
        <f>SUM(Q10,T10,W10,Z10,AC10)</f>
        <v>0</v>
      </c>
      <c r="N10" s="774"/>
      <c r="O10" s="774"/>
      <c r="P10" s="775"/>
      <c r="Q10" s="779"/>
      <c r="R10" s="780"/>
      <c r="S10" s="781"/>
      <c r="T10" s="779"/>
      <c r="U10" s="780"/>
      <c r="V10" s="781"/>
      <c r="W10" s="779"/>
      <c r="X10" s="780"/>
      <c r="Y10" s="781"/>
      <c r="Z10" s="779"/>
      <c r="AA10" s="780"/>
      <c r="AB10" s="781"/>
      <c r="AC10" s="779"/>
      <c r="AD10" s="780"/>
      <c r="AE10" s="781"/>
    </row>
    <row r="11" spans="1:31" ht="20.100000000000001" customHeight="1">
      <c r="A11" s="812" t="s">
        <v>717</v>
      </c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4"/>
      <c r="M11" s="677">
        <f>SUM(M7:P10)</f>
        <v>144</v>
      </c>
      <c r="N11" s="791"/>
      <c r="O11" s="791"/>
      <c r="P11" s="678"/>
      <c r="Q11" s="677">
        <f>SUM(Q7:S10)</f>
        <v>144</v>
      </c>
      <c r="R11" s="791"/>
      <c r="S11" s="678"/>
      <c r="T11" s="677">
        <f>SUM(T7:V10)</f>
        <v>0</v>
      </c>
      <c r="U11" s="791"/>
      <c r="V11" s="678"/>
      <c r="W11" s="677">
        <f>SUM(W7:Y10)</f>
        <v>0</v>
      </c>
      <c r="X11" s="791"/>
      <c r="Y11" s="678"/>
      <c r="Z11" s="677">
        <f>SUM(Z7:AB10)</f>
        <v>0</v>
      </c>
      <c r="AA11" s="791"/>
      <c r="AB11" s="678"/>
      <c r="AC11" s="677">
        <f>SUM(AC7:AE10)</f>
        <v>0</v>
      </c>
      <c r="AD11" s="791"/>
      <c r="AE11" s="678"/>
    </row>
    <row r="12" spans="1:31" ht="8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1"/>
      <c r="N12" s="31"/>
      <c r="O12" s="31"/>
      <c r="P12" s="31"/>
      <c r="Q12" s="49"/>
      <c r="R12" s="49"/>
      <c r="S12" s="49"/>
      <c r="T12" s="49"/>
      <c r="U12" s="49"/>
      <c r="V12" s="49"/>
      <c r="W12" s="50"/>
      <c r="X12" s="50"/>
      <c r="Y12" s="50"/>
      <c r="Z12" s="50"/>
      <c r="AA12" s="50"/>
      <c r="AB12" s="50"/>
      <c r="AC12" s="50"/>
      <c r="AD12" s="50"/>
      <c r="AE12" s="50"/>
    </row>
    <row r="13" spans="1:31" s="34" customFormat="1" ht="28.5" customHeight="1">
      <c r="B13" s="34" t="s">
        <v>1027</v>
      </c>
    </row>
    <row r="14" spans="1:31" s="34" customFormat="1" ht="9.75" customHeight="1"/>
    <row r="15" spans="1:31" ht="18.75" customHeight="1">
      <c r="A15" s="808" t="s">
        <v>713</v>
      </c>
      <c r="B15" s="590" t="s">
        <v>837</v>
      </c>
      <c r="C15" s="567" t="s">
        <v>830</v>
      </c>
      <c r="D15" s="567"/>
      <c r="E15" s="567"/>
      <c r="F15" s="567"/>
      <c r="G15" s="567" t="s">
        <v>929</v>
      </c>
      <c r="H15" s="567"/>
      <c r="I15" s="567"/>
      <c r="J15" s="567"/>
      <c r="K15" s="567"/>
      <c r="L15" s="567"/>
      <c r="M15" s="567"/>
      <c r="N15" s="567"/>
      <c r="O15" s="567"/>
      <c r="P15" s="567"/>
      <c r="Q15" s="567" t="s">
        <v>838</v>
      </c>
      <c r="R15" s="567"/>
      <c r="S15" s="567"/>
      <c r="T15" s="567"/>
      <c r="U15" s="567"/>
      <c r="V15" s="557" t="s">
        <v>839</v>
      </c>
      <c r="W15" s="557"/>
      <c r="X15" s="557"/>
      <c r="Y15" s="557"/>
      <c r="Z15" s="557"/>
      <c r="AA15" s="557"/>
      <c r="AB15" s="557"/>
      <c r="AC15" s="557"/>
      <c r="AD15" s="557"/>
      <c r="AE15" s="557"/>
    </row>
    <row r="16" spans="1:31" ht="15" customHeight="1">
      <c r="A16" s="808"/>
      <c r="B16" s="590"/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7"/>
      <c r="U16" s="567"/>
      <c r="V16" s="557" t="s">
        <v>840</v>
      </c>
      <c r="W16" s="557"/>
      <c r="X16" s="605" t="s">
        <v>756</v>
      </c>
      <c r="Y16" s="605"/>
      <c r="Z16" s="605"/>
      <c r="AA16" s="605"/>
      <c r="AB16" s="605"/>
      <c r="AC16" s="605"/>
      <c r="AD16" s="605"/>
      <c r="AE16" s="605"/>
    </row>
    <row r="17" spans="1:31" ht="16.5" customHeight="1">
      <c r="A17" s="808"/>
      <c r="B17" s="590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7"/>
      <c r="U17" s="567"/>
      <c r="V17" s="557"/>
      <c r="W17" s="557"/>
      <c r="X17" s="557" t="s">
        <v>737</v>
      </c>
      <c r="Y17" s="557"/>
      <c r="Z17" s="557" t="s">
        <v>738</v>
      </c>
      <c r="AA17" s="557"/>
      <c r="AB17" s="557" t="s">
        <v>736</v>
      </c>
      <c r="AC17" s="557"/>
      <c r="AD17" s="557" t="s">
        <v>735</v>
      </c>
      <c r="AE17" s="557"/>
    </row>
    <row r="18" spans="1:31" ht="12" customHeight="1">
      <c r="A18" s="109">
        <v>1</v>
      </c>
      <c r="B18" s="109">
        <v>2</v>
      </c>
      <c r="C18" s="617">
        <v>3</v>
      </c>
      <c r="D18" s="617"/>
      <c r="E18" s="617"/>
      <c r="F18" s="617"/>
      <c r="G18" s="617">
        <v>4</v>
      </c>
      <c r="H18" s="617"/>
      <c r="I18" s="617"/>
      <c r="J18" s="617"/>
      <c r="K18" s="617"/>
      <c r="L18" s="617"/>
      <c r="M18" s="617"/>
      <c r="N18" s="617"/>
      <c r="O18" s="617"/>
      <c r="P18" s="617"/>
      <c r="Q18" s="617">
        <v>5</v>
      </c>
      <c r="R18" s="617"/>
      <c r="S18" s="617"/>
      <c r="T18" s="617"/>
      <c r="U18" s="617"/>
      <c r="V18" s="617">
        <v>6</v>
      </c>
      <c r="W18" s="617"/>
      <c r="X18" s="631">
        <v>7</v>
      </c>
      <c r="Y18" s="631"/>
      <c r="Z18" s="631">
        <v>8</v>
      </c>
      <c r="AA18" s="631"/>
      <c r="AB18" s="631">
        <v>9</v>
      </c>
      <c r="AC18" s="631"/>
      <c r="AD18" s="631">
        <v>10</v>
      </c>
      <c r="AE18" s="631"/>
    </row>
    <row r="19" spans="1:31" ht="19.5" customHeight="1">
      <c r="A19" s="88"/>
      <c r="B19" s="81"/>
      <c r="C19" s="763" t="s">
        <v>359</v>
      </c>
      <c r="D19" s="763"/>
      <c r="E19" s="763"/>
      <c r="F19" s="763"/>
      <c r="G19" s="784" t="s">
        <v>450</v>
      </c>
      <c r="H19" s="785"/>
      <c r="I19" s="785"/>
      <c r="J19" s="785"/>
      <c r="K19" s="785"/>
      <c r="L19" s="785"/>
      <c r="M19" s="785"/>
      <c r="N19" s="785"/>
      <c r="O19" s="785"/>
      <c r="P19" s="786"/>
      <c r="Q19" s="764"/>
      <c r="R19" s="764"/>
      <c r="S19" s="764"/>
      <c r="T19" s="764"/>
      <c r="U19" s="764"/>
      <c r="V19" s="765">
        <f>SUM(X19,Z19,AB19,AD19)</f>
        <v>11.25</v>
      </c>
      <c r="W19" s="765"/>
      <c r="X19" s="766"/>
      <c r="Y19" s="766"/>
      <c r="Z19" s="753">
        <f>1.5*3/1.2</f>
        <v>3.75</v>
      </c>
      <c r="AA19" s="754"/>
      <c r="AB19" s="753">
        <f>1.5*3/1.2</f>
        <v>3.75</v>
      </c>
      <c r="AC19" s="754"/>
      <c r="AD19" s="753">
        <f>1.5*3/1.2</f>
        <v>3.75</v>
      </c>
      <c r="AE19" s="754"/>
    </row>
    <row r="20" spans="1:31" ht="19.5" customHeight="1">
      <c r="A20" s="88"/>
      <c r="B20" s="81"/>
      <c r="C20" s="763" t="s">
        <v>360</v>
      </c>
      <c r="D20" s="763"/>
      <c r="E20" s="763"/>
      <c r="F20" s="763"/>
      <c r="G20" s="809"/>
      <c r="H20" s="810"/>
      <c r="I20" s="810"/>
      <c r="J20" s="810"/>
      <c r="K20" s="810"/>
      <c r="L20" s="810"/>
      <c r="M20" s="810"/>
      <c r="N20" s="810"/>
      <c r="O20" s="810"/>
      <c r="P20" s="811"/>
      <c r="Q20" s="764"/>
      <c r="R20" s="764"/>
      <c r="S20" s="764"/>
      <c r="T20" s="764"/>
      <c r="U20" s="764"/>
      <c r="V20" s="765">
        <f>SUM(X20,Z20,AB20,AD20)</f>
        <v>11.25</v>
      </c>
      <c r="W20" s="765"/>
      <c r="X20" s="766"/>
      <c r="Y20" s="766"/>
      <c r="Z20" s="753">
        <f t="shared" ref="Z20:AD21" si="0">1.5*3/1.2</f>
        <v>3.75</v>
      </c>
      <c r="AA20" s="754"/>
      <c r="AB20" s="753">
        <f t="shared" si="0"/>
        <v>3.75</v>
      </c>
      <c r="AC20" s="754"/>
      <c r="AD20" s="753">
        <f t="shared" si="0"/>
        <v>3.75</v>
      </c>
      <c r="AE20" s="754"/>
    </row>
    <row r="21" spans="1:31" ht="16.5" customHeight="1">
      <c r="A21" s="88"/>
      <c r="B21" s="81"/>
      <c r="C21" s="763" t="s">
        <v>361</v>
      </c>
      <c r="D21" s="763"/>
      <c r="E21" s="763"/>
      <c r="F21" s="763"/>
      <c r="G21" s="787"/>
      <c r="H21" s="788"/>
      <c r="I21" s="788"/>
      <c r="J21" s="788"/>
      <c r="K21" s="788"/>
      <c r="L21" s="788"/>
      <c r="M21" s="788"/>
      <c r="N21" s="788"/>
      <c r="O21" s="788"/>
      <c r="P21" s="789"/>
      <c r="Q21" s="764"/>
      <c r="R21" s="764"/>
      <c r="S21" s="764"/>
      <c r="T21" s="764"/>
      <c r="U21" s="764"/>
      <c r="V21" s="765">
        <f>SUM(X21,Z21,AB21,AD21)</f>
        <v>11.25</v>
      </c>
      <c r="W21" s="765"/>
      <c r="X21" s="766"/>
      <c r="Y21" s="766"/>
      <c r="Z21" s="753">
        <f t="shared" si="0"/>
        <v>3.75</v>
      </c>
      <c r="AA21" s="754"/>
      <c r="AB21" s="753">
        <f t="shared" si="0"/>
        <v>3.75</v>
      </c>
      <c r="AC21" s="754"/>
      <c r="AD21" s="753">
        <f t="shared" si="0"/>
        <v>3.75</v>
      </c>
      <c r="AE21" s="754"/>
    </row>
    <row r="22" spans="1:31" ht="17.25" hidden="1" customHeight="1">
      <c r="A22" s="88"/>
      <c r="B22" s="81"/>
      <c r="C22" s="672"/>
      <c r="D22" s="672"/>
      <c r="E22" s="672"/>
      <c r="F22" s="672"/>
      <c r="G22" s="790"/>
      <c r="H22" s="790"/>
      <c r="I22" s="790"/>
      <c r="J22" s="790"/>
      <c r="K22" s="790"/>
      <c r="L22" s="790"/>
      <c r="M22" s="790"/>
      <c r="N22" s="790"/>
      <c r="O22" s="790"/>
      <c r="P22" s="790"/>
      <c r="Q22" s="764"/>
      <c r="R22" s="764"/>
      <c r="S22" s="764"/>
      <c r="T22" s="764"/>
      <c r="U22" s="764"/>
      <c r="V22" s="765">
        <f>SUM(X22,Z22,AB22,AD22)</f>
        <v>0</v>
      </c>
      <c r="W22" s="765"/>
      <c r="X22" s="766"/>
      <c r="Y22" s="766"/>
      <c r="Z22" s="766"/>
      <c r="AA22" s="766"/>
      <c r="AB22" s="766"/>
      <c r="AC22" s="766"/>
      <c r="AD22" s="766"/>
      <c r="AE22" s="766"/>
    </row>
    <row r="23" spans="1:31" ht="16.5" customHeight="1">
      <c r="A23" s="590" t="s">
        <v>717</v>
      </c>
      <c r="B23" s="590"/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752">
        <f>SUM(V19:W22)+0.1</f>
        <v>33.85</v>
      </c>
      <c r="W23" s="752"/>
      <c r="X23" s="734">
        <f>SUM(X19:Y22)</f>
        <v>0</v>
      </c>
      <c r="Y23" s="734"/>
      <c r="Z23" s="752">
        <f>SUM(Z19:AA22)</f>
        <v>11.25</v>
      </c>
      <c r="AA23" s="752"/>
      <c r="AB23" s="752">
        <f>SUM(AB19:AC22)</f>
        <v>11.25</v>
      </c>
      <c r="AC23" s="752"/>
      <c r="AD23" s="752">
        <f>SUM(AD19:AE22)</f>
        <v>11.25</v>
      </c>
      <c r="AE23" s="752"/>
    </row>
    <row r="24" spans="1:31" ht="4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Q24" s="25"/>
      <c r="R24" s="25"/>
      <c r="S24" s="25"/>
      <c r="T24" s="25"/>
      <c r="U24" s="25"/>
      <c r="AE24" s="25"/>
    </row>
    <row r="25" spans="1:31" s="34" customFormat="1" ht="24.75" customHeight="1">
      <c r="B25" s="34" t="s">
        <v>1028</v>
      </c>
    </row>
    <row r="26" spans="1:31" ht="7.5" customHeight="1">
      <c r="A26" s="21"/>
      <c r="B26" s="21"/>
      <c r="C26" s="21"/>
      <c r="D26" s="21"/>
      <c r="E26" s="21"/>
      <c r="F26" s="21"/>
      <c r="G26" s="21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21"/>
      <c r="AD26" s="69" t="s">
        <v>863</v>
      </c>
    </row>
    <row r="27" spans="1:31" ht="36.75" customHeight="1">
      <c r="A27" s="656" t="s">
        <v>713</v>
      </c>
      <c r="B27" s="567" t="s">
        <v>864</v>
      </c>
      <c r="C27" s="567"/>
      <c r="D27" s="567"/>
      <c r="E27" s="567"/>
      <c r="F27" s="567"/>
      <c r="G27" s="567" t="s">
        <v>716</v>
      </c>
      <c r="H27" s="567"/>
      <c r="I27" s="567"/>
      <c r="J27" s="567"/>
      <c r="K27" s="567"/>
      <c r="L27" s="653" t="s">
        <v>751</v>
      </c>
      <c r="M27" s="547"/>
      <c r="N27" s="547"/>
      <c r="O27" s="547"/>
      <c r="P27" s="547"/>
      <c r="Q27" s="547"/>
      <c r="R27" s="547"/>
      <c r="S27" s="547"/>
      <c r="T27" s="547"/>
      <c r="U27" s="548"/>
      <c r="V27" s="653" t="s">
        <v>970</v>
      </c>
      <c r="W27" s="547"/>
      <c r="X27" s="547"/>
      <c r="Y27" s="547"/>
      <c r="Z27" s="547"/>
      <c r="AA27" s="547"/>
      <c r="AB27" s="547"/>
      <c r="AC27" s="547"/>
      <c r="AD27" s="547"/>
      <c r="AE27" s="548"/>
    </row>
    <row r="28" spans="1:31" ht="16.5" customHeight="1">
      <c r="A28" s="802"/>
      <c r="B28" s="567"/>
      <c r="C28" s="567"/>
      <c r="D28" s="567"/>
      <c r="E28" s="567"/>
      <c r="F28" s="567"/>
      <c r="G28" s="567" t="s">
        <v>743</v>
      </c>
      <c r="H28" s="558" t="s">
        <v>756</v>
      </c>
      <c r="I28" s="558"/>
      <c r="J28" s="558"/>
      <c r="K28" s="558"/>
      <c r="L28" s="567" t="s">
        <v>743</v>
      </c>
      <c r="M28" s="728"/>
      <c r="N28" s="755" t="s">
        <v>756</v>
      </c>
      <c r="O28" s="756"/>
      <c r="P28" s="756"/>
      <c r="Q28" s="756"/>
      <c r="R28" s="756"/>
      <c r="S28" s="756"/>
      <c r="T28" s="756"/>
      <c r="U28" s="757"/>
      <c r="V28" s="567" t="s">
        <v>743</v>
      </c>
      <c r="W28" s="728"/>
      <c r="X28" s="755" t="s">
        <v>756</v>
      </c>
      <c r="Y28" s="756"/>
      <c r="Z28" s="756"/>
      <c r="AA28" s="756"/>
      <c r="AB28" s="756"/>
      <c r="AC28" s="756"/>
      <c r="AD28" s="756"/>
      <c r="AE28" s="757"/>
    </row>
    <row r="29" spans="1:31" ht="19.5" customHeight="1">
      <c r="A29" s="657"/>
      <c r="B29" s="567"/>
      <c r="C29" s="567"/>
      <c r="D29" s="567"/>
      <c r="E29" s="567"/>
      <c r="F29" s="567"/>
      <c r="G29" s="567"/>
      <c r="H29" s="7" t="s">
        <v>737</v>
      </c>
      <c r="I29" s="7" t="s">
        <v>738</v>
      </c>
      <c r="J29" s="7" t="s">
        <v>736</v>
      </c>
      <c r="K29" s="7" t="s">
        <v>735</v>
      </c>
      <c r="L29" s="728"/>
      <c r="M29" s="728"/>
      <c r="N29" s="567" t="s">
        <v>737</v>
      </c>
      <c r="O29" s="567"/>
      <c r="P29" s="567" t="s">
        <v>968</v>
      </c>
      <c r="Q29" s="567"/>
      <c r="R29" s="567" t="s">
        <v>969</v>
      </c>
      <c r="S29" s="567"/>
      <c r="T29" s="567" t="s">
        <v>735</v>
      </c>
      <c r="U29" s="567"/>
      <c r="V29" s="728"/>
      <c r="W29" s="728"/>
      <c r="X29" s="567" t="s">
        <v>737</v>
      </c>
      <c r="Y29" s="567"/>
      <c r="Z29" s="567" t="s">
        <v>968</v>
      </c>
      <c r="AA29" s="567"/>
      <c r="AB29" s="567" t="s">
        <v>969</v>
      </c>
      <c r="AC29" s="567"/>
      <c r="AD29" s="567" t="s">
        <v>735</v>
      </c>
      <c r="AE29" s="567"/>
    </row>
    <row r="30" spans="1:31" ht="11.25" customHeight="1">
      <c r="A30" s="115">
        <v>1</v>
      </c>
      <c r="B30" s="580">
        <v>2</v>
      </c>
      <c r="C30" s="580"/>
      <c r="D30" s="580"/>
      <c r="E30" s="580"/>
      <c r="F30" s="580"/>
      <c r="G30" s="115">
        <v>3</v>
      </c>
      <c r="H30" s="115">
        <v>4</v>
      </c>
      <c r="I30" s="115">
        <v>5</v>
      </c>
      <c r="J30" s="115">
        <v>6</v>
      </c>
      <c r="K30" s="115">
        <v>7</v>
      </c>
      <c r="L30" s="729">
        <v>8</v>
      </c>
      <c r="M30" s="730"/>
      <c r="N30" s="729">
        <v>9</v>
      </c>
      <c r="O30" s="730"/>
      <c r="P30" s="729">
        <v>10</v>
      </c>
      <c r="Q30" s="730"/>
      <c r="R30" s="729">
        <v>11</v>
      </c>
      <c r="S30" s="730"/>
      <c r="T30" s="729">
        <v>12</v>
      </c>
      <c r="U30" s="730"/>
      <c r="V30" s="729">
        <v>13</v>
      </c>
      <c r="W30" s="730"/>
      <c r="X30" s="729">
        <v>14</v>
      </c>
      <c r="Y30" s="730"/>
      <c r="Z30" s="729">
        <v>15</v>
      </c>
      <c r="AA30" s="730"/>
      <c r="AB30" s="729">
        <v>16</v>
      </c>
      <c r="AC30" s="730"/>
      <c r="AD30" s="729">
        <v>17</v>
      </c>
      <c r="AE30" s="730"/>
    </row>
    <row r="31" spans="1:31" ht="36.75" customHeight="1">
      <c r="A31" s="85"/>
      <c r="B31" s="796" t="s">
        <v>341</v>
      </c>
      <c r="C31" s="797"/>
      <c r="D31" s="797"/>
      <c r="E31" s="797"/>
      <c r="F31" s="798"/>
      <c r="G31" s="97">
        <f>SUM(H31,I31,J31,K31)</f>
        <v>0</v>
      </c>
      <c r="H31" s="93"/>
      <c r="I31" s="93"/>
      <c r="J31" s="93"/>
      <c r="K31" s="93"/>
      <c r="L31" s="627">
        <f>SUM(N31:U31)</f>
        <v>100</v>
      </c>
      <c r="M31" s="628"/>
      <c r="N31" s="620"/>
      <c r="O31" s="621"/>
      <c r="P31" s="620">
        <v>100</v>
      </c>
      <c r="Q31" s="621"/>
      <c r="R31" s="620"/>
      <c r="S31" s="621"/>
      <c r="T31" s="620"/>
      <c r="U31" s="621"/>
      <c r="V31" s="677">
        <f>SUM(X31:AE31)</f>
        <v>0</v>
      </c>
      <c r="W31" s="678"/>
      <c r="X31" s="625"/>
      <c r="Y31" s="626"/>
      <c r="Z31" s="625"/>
      <c r="AA31" s="626"/>
      <c r="AB31" s="625"/>
      <c r="AC31" s="626"/>
      <c r="AD31" s="625"/>
      <c r="AE31" s="626"/>
    </row>
    <row r="32" spans="1:31" ht="20.100000000000001" customHeight="1">
      <c r="A32" s="85"/>
      <c r="B32" s="796" t="s">
        <v>355</v>
      </c>
      <c r="C32" s="797"/>
      <c r="D32" s="797"/>
      <c r="E32" s="797"/>
      <c r="F32" s="798"/>
      <c r="G32" s="97">
        <f>SUM(H32,I32,J32,K32)</f>
        <v>0</v>
      </c>
      <c r="H32" s="93"/>
      <c r="I32" s="93"/>
      <c r="J32" s="93"/>
      <c r="K32" s="93"/>
      <c r="L32" s="627">
        <f>SUM(N32:U32)</f>
        <v>1800</v>
      </c>
      <c r="M32" s="628"/>
      <c r="N32" s="620"/>
      <c r="O32" s="621"/>
      <c r="P32" s="620"/>
      <c r="Q32" s="621"/>
      <c r="R32" s="620">
        <v>1800</v>
      </c>
      <c r="S32" s="621"/>
      <c r="T32" s="620"/>
      <c r="U32" s="621"/>
      <c r="V32" s="677">
        <f>SUM(X32:AE32)</f>
        <v>0</v>
      </c>
      <c r="W32" s="678"/>
      <c r="X32" s="625"/>
      <c r="Y32" s="626"/>
      <c r="Z32" s="625"/>
      <c r="AA32" s="626"/>
      <c r="AB32" s="625"/>
      <c r="AC32" s="626"/>
      <c r="AD32" s="625"/>
      <c r="AE32" s="626"/>
    </row>
    <row r="33" spans="1:31" ht="20.100000000000001" hidden="1" customHeight="1">
      <c r="A33" s="85"/>
      <c r="B33" s="750"/>
      <c r="C33" s="750"/>
      <c r="D33" s="750"/>
      <c r="E33" s="750"/>
      <c r="F33" s="750"/>
      <c r="G33" s="97">
        <f>SUM(H33,I33,J33,K33)</f>
        <v>0</v>
      </c>
      <c r="H33" s="93"/>
      <c r="I33" s="93"/>
      <c r="J33" s="93"/>
      <c r="K33" s="93"/>
      <c r="L33" s="627">
        <f>SUM(N33:U33)</f>
        <v>0</v>
      </c>
      <c r="M33" s="628"/>
      <c r="N33" s="620"/>
      <c r="O33" s="621"/>
      <c r="P33" s="620"/>
      <c r="Q33" s="621"/>
      <c r="R33" s="620"/>
      <c r="S33" s="621"/>
      <c r="T33" s="620"/>
      <c r="U33" s="621"/>
      <c r="V33" s="677">
        <f>SUM(X33:AE33)</f>
        <v>0</v>
      </c>
      <c r="W33" s="678"/>
      <c r="X33" s="625"/>
      <c r="Y33" s="626"/>
      <c r="Z33" s="625"/>
      <c r="AA33" s="626"/>
      <c r="AB33" s="625"/>
      <c r="AC33" s="626"/>
      <c r="AD33" s="625"/>
      <c r="AE33" s="626"/>
    </row>
    <row r="34" spans="1:31" ht="65.25" customHeight="1">
      <c r="A34" s="85"/>
      <c r="B34" s="799" t="s">
        <v>356</v>
      </c>
      <c r="C34" s="800"/>
      <c r="D34" s="800"/>
      <c r="E34" s="800"/>
      <c r="F34" s="801"/>
      <c r="G34" s="97">
        <f>SUM(H34,I34,J34,K34)</f>
        <v>0</v>
      </c>
      <c r="H34" s="93"/>
      <c r="I34" s="93"/>
      <c r="J34" s="93"/>
      <c r="K34" s="93"/>
      <c r="L34" s="627">
        <f>SUM(N34:U34)</f>
        <v>3000</v>
      </c>
      <c r="M34" s="628"/>
      <c r="N34" s="620"/>
      <c r="O34" s="621"/>
      <c r="P34" s="620"/>
      <c r="Q34" s="621"/>
      <c r="R34" s="620">
        <v>3000</v>
      </c>
      <c r="S34" s="621"/>
      <c r="T34" s="620"/>
      <c r="U34" s="621"/>
      <c r="V34" s="677">
        <f>SUM(X34:AE34)</f>
        <v>0</v>
      </c>
      <c r="W34" s="678"/>
      <c r="X34" s="625"/>
      <c r="Y34" s="626"/>
      <c r="Z34" s="625"/>
      <c r="AA34" s="626"/>
      <c r="AB34" s="625"/>
      <c r="AC34" s="626"/>
      <c r="AD34" s="625"/>
      <c r="AE34" s="626"/>
    </row>
    <row r="35" spans="1:31" ht="20.100000000000001" customHeight="1">
      <c r="A35" s="804" t="s">
        <v>717</v>
      </c>
      <c r="B35" s="805"/>
      <c r="C35" s="805"/>
      <c r="D35" s="805"/>
      <c r="E35" s="805"/>
      <c r="F35" s="806"/>
      <c r="G35" s="97">
        <f>SUM(G31:G34)</f>
        <v>0</v>
      </c>
      <c r="H35" s="97">
        <f>SUM(H31:H34)</f>
        <v>0</v>
      </c>
      <c r="I35" s="97">
        <f>SUM(I31:I34)</f>
        <v>0</v>
      </c>
      <c r="J35" s="97">
        <f>SUM(J31:J34)</f>
        <v>0</v>
      </c>
      <c r="K35" s="97">
        <f>SUM(K31:K34)</f>
        <v>0</v>
      </c>
      <c r="L35" s="627">
        <f>SUM(N35:U35)</f>
        <v>4900</v>
      </c>
      <c r="M35" s="628"/>
      <c r="N35" s="627">
        <f>SUM(N31:N34)</f>
        <v>0</v>
      </c>
      <c r="O35" s="628"/>
      <c r="P35" s="627">
        <f>SUM(P31:P34)</f>
        <v>100</v>
      </c>
      <c r="Q35" s="628"/>
      <c r="R35" s="627">
        <f>SUM(R31:R34)</f>
        <v>4800</v>
      </c>
      <c r="S35" s="628"/>
      <c r="T35" s="627">
        <f>SUM(T31:T34)</f>
        <v>0</v>
      </c>
      <c r="U35" s="628"/>
      <c r="V35" s="677">
        <f>SUM(X35:AE35)</f>
        <v>0</v>
      </c>
      <c r="W35" s="678"/>
      <c r="X35" s="677">
        <f>SUM(X31:X34)</f>
        <v>0</v>
      </c>
      <c r="Y35" s="678"/>
      <c r="Z35" s="677">
        <f>SUM(Z31:Z34)</f>
        <v>0</v>
      </c>
      <c r="AA35" s="678"/>
      <c r="AB35" s="677">
        <f>SUM(AB31:AB34)</f>
        <v>0</v>
      </c>
      <c r="AC35" s="678"/>
      <c r="AD35" s="677">
        <f>SUM(AD31:AD34)</f>
        <v>0</v>
      </c>
      <c r="AE35" s="678"/>
    </row>
    <row r="36" spans="1:31" ht="20.100000000000001" customHeight="1">
      <c r="A36" s="654" t="s">
        <v>718</v>
      </c>
      <c r="B36" s="542"/>
      <c r="C36" s="542"/>
      <c r="D36" s="542"/>
      <c r="E36" s="542"/>
      <c r="F36" s="559"/>
      <c r="G36" s="98"/>
      <c r="H36" s="99"/>
      <c r="I36" s="99"/>
      <c r="J36" s="99"/>
      <c r="K36" s="99"/>
      <c r="L36" s="722"/>
      <c r="M36" s="723"/>
      <c r="N36" s="720"/>
      <c r="O36" s="721"/>
      <c r="P36" s="625"/>
      <c r="Q36" s="626"/>
      <c r="R36" s="625"/>
      <c r="S36" s="626"/>
      <c r="T36" s="625"/>
      <c r="U36" s="626"/>
      <c r="V36" s="751"/>
      <c r="W36" s="723"/>
      <c r="X36" s="720"/>
      <c r="Y36" s="721"/>
      <c r="Z36" s="625"/>
      <c r="AA36" s="626"/>
      <c r="AB36" s="625"/>
      <c r="AC36" s="626"/>
      <c r="AD36" s="625"/>
      <c r="AE36" s="626"/>
    </row>
    <row r="37" spans="1:31" ht="18.75" customHeight="1">
      <c r="A37" s="47"/>
      <c r="B37" s="803" t="s">
        <v>1034</v>
      </c>
      <c r="C37" s="803"/>
      <c r="D37" s="803"/>
      <c r="E37" s="803"/>
      <c r="F37" s="803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47"/>
      <c r="T37" s="47"/>
      <c r="U37" s="47"/>
      <c r="V37" s="47"/>
      <c r="W37" s="84"/>
      <c r="X37" s="47"/>
      <c r="Y37" s="47"/>
      <c r="Z37" s="47"/>
      <c r="AA37" s="47"/>
    </row>
    <row r="38" spans="1:31" ht="21.75" customHeight="1">
      <c r="A38" s="656" t="s">
        <v>713</v>
      </c>
      <c r="B38" s="647" t="s">
        <v>864</v>
      </c>
      <c r="C38" s="648"/>
      <c r="D38" s="648"/>
      <c r="E38" s="648"/>
      <c r="F38" s="648"/>
      <c r="G38" s="567" t="s">
        <v>972</v>
      </c>
      <c r="H38" s="567"/>
      <c r="I38" s="567"/>
      <c r="J38" s="567"/>
      <c r="K38" s="567"/>
      <c r="L38" s="653" t="s">
        <v>1031</v>
      </c>
      <c r="M38" s="547"/>
      <c r="N38" s="547"/>
      <c r="O38" s="547"/>
      <c r="P38" s="547"/>
      <c r="Q38" s="547"/>
      <c r="R38" s="547"/>
      <c r="S38" s="547"/>
      <c r="T38" s="547"/>
      <c r="U38" s="548"/>
      <c r="V38" s="653" t="s">
        <v>971</v>
      </c>
      <c r="W38" s="547"/>
      <c r="X38" s="547"/>
      <c r="Y38" s="547"/>
      <c r="Z38" s="547"/>
      <c r="AA38" s="547"/>
      <c r="AB38" s="547"/>
      <c r="AC38" s="547"/>
      <c r="AD38" s="547"/>
      <c r="AE38" s="548"/>
    </row>
    <row r="39" spans="1:31" ht="20.25" customHeight="1">
      <c r="A39" s="802"/>
      <c r="B39" s="807"/>
      <c r="C39" s="658"/>
      <c r="D39" s="658"/>
      <c r="E39" s="658"/>
      <c r="F39" s="658"/>
      <c r="G39" s="567" t="s">
        <v>743</v>
      </c>
      <c r="H39" s="558" t="s">
        <v>756</v>
      </c>
      <c r="I39" s="558"/>
      <c r="J39" s="558"/>
      <c r="K39" s="558"/>
      <c r="L39" s="567" t="s">
        <v>743</v>
      </c>
      <c r="M39" s="728"/>
      <c r="N39" s="755" t="s">
        <v>756</v>
      </c>
      <c r="O39" s="756"/>
      <c r="P39" s="756"/>
      <c r="Q39" s="756"/>
      <c r="R39" s="756"/>
      <c r="S39" s="756"/>
      <c r="T39" s="756"/>
      <c r="U39" s="757"/>
      <c r="V39" s="567" t="s">
        <v>743</v>
      </c>
      <c r="W39" s="728"/>
      <c r="X39" s="755" t="s">
        <v>756</v>
      </c>
      <c r="Y39" s="756"/>
      <c r="Z39" s="756"/>
      <c r="AA39" s="756"/>
      <c r="AB39" s="756"/>
      <c r="AC39" s="756"/>
      <c r="AD39" s="756"/>
      <c r="AE39" s="757"/>
    </row>
    <row r="40" spans="1:31" ht="24.6" customHeight="1">
      <c r="A40" s="657"/>
      <c r="B40" s="650"/>
      <c r="C40" s="651"/>
      <c r="D40" s="651"/>
      <c r="E40" s="651"/>
      <c r="F40" s="651"/>
      <c r="G40" s="567"/>
      <c r="H40" s="7" t="s">
        <v>737</v>
      </c>
      <c r="I40" s="7" t="s">
        <v>738</v>
      </c>
      <c r="J40" s="7" t="s">
        <v>736</v>
      </c>
      <c r="K40" s="7" t="s">
        <v>735</v>
      </c>
      <c r="L40" s="728"/>
      <c r="M40" s="728"/>
      <c r="N40" s="567" t="s">
        <v>737</v>
      </c>
      <c r="O40" s="567"/>
      <c r="P40" s="567" t="s">
        <v>968</v>
      </c>
      <c r="Q40" s="567"/>
      <c r="R40" s="567" t="s">
        <v>969</v>
      </c>
      <c r="S40" s="567"/>
      <c r="T40" s="567" t="s">
        <v>735</v>
      </c>
      <c r="U40" s="567"/>
      <c r="V40" s="728"/>
      <c r="W40" s="728"/>
      <c r="X40" s="567" t="s">
        <v>737</v>
      </c>
      <c r="Y40" s="567"/>
      <c r="Z40" s="567" t="s">
        <v>968</v>
      </c>
      <c r="AA40" s="567"/>
      <c r="AB40" s="567" t="s">
        <v>969</v>
      </c>
      <c r="AC40" s="567"/>
      <c r="AD40" s="567" t="s">
        <v>735</v>
      </c>
      <c r="AE40" s="567"/>
    </row>
    <row r="41" spans="1:31" ht="12" customHeight="1">
      <c r="A41" s="115"/>
      <c r="B41" s="580"/>
      <c r="C41" s="580"/>
      <c r="D41" s="580"/>
      <c r="E41" s="580"/>
      <c r="F41" s="580"/>
      <c r="G41" s="115">
        <v>18</v>
      </c>
      <c r="H41" s="115">
        <v>19</v>
      </c>
      <c r="I41" s="115">
        <v>20</v>
      </c>
      <c r="J41" s="115">
        <v>21</v>
      </c>
      <c r="K41" s="115">
        <v>22</v>
      </c>
      <c r="L41" s="729">
        <v>23</v>
      </c>
      <c r="M41" s="730"/>
      <c r="N41" s="729">
        <v>24</v>
      </c>
      <c r="O41" s="730"/>
      <c r="P41" s="729">
        <v>25</v>
      </c>
      <c r="Q41" s="730"/>
      <c r="R41" s="729">
        <v>26</v>
      </c>
      <c r="S41" s="730"/>
      <c r="T41" s="729">
        <v>27</v>
      </c>
      <c r="U41" s="730"/>
      <c r="V41" s="729">
        <v>28</v>
      </c>
      <c r="W41" s="730"/>
      <c r="X41" s="729">
        <v>29</v>
      </c>
      <c r="Y41" s="730"/>
      <c r="Z41" s="729">
        <v>30</v>
      </c>
      <c r="AA41" s="730"/>
      <c r="AB41" s="729">
        <v>31</v>
      </c>
      <c r="AC41" s="730"/>
      <c r="AD41" s="729">
        <v>32</v>
      </c>
      <c r="AE41" s="730"/>
    </row>
    <row r="42" spans="1:31" ht="16.5" customHeight="1">
      <c r="A42" s="85"/>
      <c r="B42" s="790"/>
      <c r="C42" s="790"/>
      <c r="D42" s="790"/>
      <c r="E42" s="790"/>
      <c r="F42" s="790"/>
      <c r="G42" s="174">
        <f>SUM(H42:K42)</f>
        <v>0</v>
      </c>
      <c r="H42" s="173"/>
      <c r="I42" s="173"/>
      <c r="J42" s="173"/>
      <c r="K42" s="173"/>
      <c r="L42" s="677">
        <f>SUM(N42:U42)</f>
        <v>0</v>
      </c>
      <c r="M42" s="678"/>
      <c r="N42" s="625"/>
      <c r="O42" s="626"/>
      <c r="P42" s="625"/>
      <c r="Q42" s="626"/>
      <c r="R42" s="625"/>
      <c r="S42" s="626"/>
      <c r="T42" s="625"/>
      <c r="U42" s="626"/>
      <c r="V42" s="677">
        <f>SUM(W42,X42,Y42,Z42)</f>
        <v>0</v>
      </c>
      <c r="W42" s="678"/>
      <c r="X42" s="677"/>
      <c r="Y42" s="678"/>
      <c r="Z42" s="677"/>
      <c r="AA42" s="678"/>
      <c r="AB42" s="677"/>
      <c r="AC42" s="678"/>
      <c r="AD42" s="677"/>
      <c r="AE42" s="678"/>
    </row>
    <row r="43" spans="1:31" ht="33" customHeight="1">
      <c r="A43" s="85"/>
      <c r="B43" s="790" t="s">
        <v>452</v>
      </c>
      <c r="C43" s="790"/>
      <c r="D43" s="790"/>
      <c r="E43" s="790"/>
      <c r="F43" s="790"/>
      <c r="G43" s="340">
        <f>SUM(H43:K43)</f>
        <v>3470</v>
      </c>
      <c r="H43" s="339">
        <f ca="1">'IV. Кап. інвестиції'!G44</f>
        <v>360</v>
      </c>
      <c r="I43" s="339">
        <f ca="1">'IV. Кап. інвестиції'!H44</f>
        <v>990</v>
      </c>
      <c r="J43" s="339">
        <f ca="1">'IV. Кап. інвестиції'!I44</f>
        <v>1840</v>
      </c>
      <c r="K43" s="339">
        <f ca="1">'IV. Кап. інвестиції'!J44</f>
        <v>280</v>
      </c>
      <c r="L43" s="677">
        <f>SUM(N43:U43)</f>
        <v>0</v>
      </c>
      <c r="M43" s="678"/>
      <c r="N43" s="625"/>
      <c r="O43" s="626"/>
      <c r="P43" s="625"/>
      <c r="Q43" s="626"/>
      <c r="R43" s="625"/>
      <c r="S43" s="626"/>
      <c r="T43" s="625"/>
      <c r="U43" s="626"/>
      <c r="V43" s="627">
        <f>X43+Z43+AB43+AD43</f>
        <v>0</v>
      </c>
      <c r="W43" s="628"/>
      <c r="X43" s="627"/>
      <c r="Y43" s="628"/>
      <c r="Z43" s="627"/>
      <c r="AA43" s="628"/>
      <c r="AB43" s="627"/>
      <c r="AC43" s="628"/>
      <c r="AD43" s="627"/>
      <c r="AE43" s="628"/>
    </row>
    <row r="44" spans="1:31" ht="33.75" customHeight="1">
      <c r="A44" s="85"/>
      <c r="B44" s="790" t="s">
        <v>451</v>
      </c>
      <c r="C44" s="790"/>
      <c r="D44" s="790"/>
      <c r="E44" s="790"/>
      <c r="F44" s="790"/>
      <c r="G44" s="340">
        <f>SUM(H44:K44)</f>
        <v>200</v>
      </c>
      <c r="H44" s="339">
        <f ca="1">'IV. Кап. інвестиції'!G16+'IV. Кап. інвестиції'!G12+'IV. Кап. інвестиції'!G13</f>
        <v>30</v>
      </c>
      <c r="I44" s="339">
        <f ca="1">'IV. Кап. інвестиції'!H16+'IV. Кап. інвестиції'!H12+'IV. Кап. інвестиції'!H13</f>
        <v>110</v>
      </c>
      <c r="J44" s="339">
        <f ca="1">'IV. Кап. інвестиції'!I16+'IV. Кап. інвестиції'!I12+'IV. Кап. інвестиції'!I13</f>
        <v>30</v>
      </c>
      <c r="K44" s="339">
        <f ca="1">'IV. Кап. інвестиції'!J16+'IV. Кап. інвестиції'!J12+'IV. Кап. інвестиції'!J13</f>
        <v>30</v>
      </c>
      <c r="L44" s="677">
        <f>SUM(N44:U44)</f>
        <v>0</v>
      </c>
      <c r="M44" s="678"/>
      <c r="N44" s="625"/>
      <c r="O44" s="626"/>
      <c r="P44" s="625"/>
      <c r="Q44" s="626"/>
      <c r="R44" s="625"/>
      <c r="S44" s="626"/>
      <c r="T44" s="625"/>
      <c r="U44" s="626"/>
      <c r="V44" s="627">
        <f>X44+Z44+AB44+AD44</f>
        <v>0</v>
      </c>
      <c r="W44" s="628"/>
      <c r="X44" s="627"/>
      <c r="Y44" s="628"/>
      <c r="Z44" s="627"/>
      <c r="AA44" s="628"/>
      <c r="AB44" s="627"/>
      <c r="AC44" s="628"/>
      <c r="AD44" s="627"/>
      <c r="AE44" s="628"/>
    </row>
    <row r="45" spans="1:31" ht="20.100000000000001" customHeight="1">
      <c r="A45" s="85"/>
      <c r="B45" s="790" t="s">
        <v>1128</v>
      </c>
      <c r="C45" s="790"/>
      <c r="D45" s="790"/>
      <c r="E45" s="790"/>
      <c r="F45" s="790"/>
      <c r="G45" s="340">
        <f>SUM(H45:K45)</f>
        <v>50</v>
      </c>
      <c r="H45" s="339">
        <f ca="1">'IV. Кап. інвестиції'!G32</f>
        <v>5</v>
      </c>
      <c r="I45" s="339">
        <f ca="1">'IV. Кап. інвестиції'!H32</f>
        <v>10</v>
      </c>
      <c r="J45" s="339">
        <f ca="1">'IV. Кап. інвестиції'!I32</f>
        <v>20</v>
      </c>
      <c r="K45" s="339">
        <f ca="1">'IV. Кап. інвестиції'!J32</f>
        <v>15</v>
      </c>
      <c r="L45" s="677">
        <f>SUM(N45:U45)</f>
        <v>0</v>
      </c>
      <c r="M45" s="678"/>
      <c r="N45" s="625"/>
      <c r="O45" s="626"/>
      <c r="P45" s="625"/>
      <c r="Q45" s="626"/>
      <c r="R45" s="625"/>
      <c r="S45" s="626"/>
      <c r="T45" s="625"/>
      <c r="U45" s="626"/>
      <c r="V45" s="627">
        <f>X45+Z45+AB45+AD45</f>
        <v>0</v>
      </c>
      <c r="W45" s="628"/>
      <c r="X45" s="627"/>
      <c r="Y45" s="628"/>
      <c r="Z45" s="627"/>
      <c r="AA45" s="628"/>
      <c r="AB45" s="627"/>
      <c r="AC45" s="628"/>
      <c r="AD45" s="627"/>
      <c r="AE45" s="628"/>
    </row>
    <row r="46" spans="1:31" ht="20.100000000000001" customHeight="1">
      <c r="A46" s="804" t="s">
        <v>717</v>
      </c>
      <c r="B46" s="805"/>
      <c r="C46" s="805"/>
      <c r="D46" s="805"/>
      <c r="E46" s="805"/>
      <c r="F46" s="806"/>
      <c r="G46" s="340">
        <f>SUM(H46:K46)</f>
        <v>3720</v>
      </c>
      <c r="H46" s="199">
        <f>SUM(H42:H45)</f>
        <v>395</v>
      </c>
      <c r="I46" s="199">
        <f>SUM(I42:I45)</f>
        <v>1110</v>
      </c>
      <c r="J46" s="199">
        <f>SUM(J42:J45)</f>
        <v>1890</v>
      </c>
      <c r="K46" s="199">
        <f>SUM(K42:K45)</f>
        <v>325</v>
      </c>
      <c r="L46" s="677">
        <f>SUM(N46:U46)</f>
        <v>0</v>
      </c>
      <c r="M46" s="678"/>
      <c r="N46" s="677">
        <f>SUM(N42:N45)</f>
        <v>0</v>
      </c>
      <c r="O46" s="678"/>
      <c r="P46" s="677">
        <f>SUM(P42:P45)</f>
        <v>0</v>
      </c>
      <c r="Q46" s="678"/>
      <c r="R46" s="677">
        <f>SUM(R42:R45)</f>
        <v>0</v>
      </c>
      <c r="S46" s="678"/>
      <c r="T46" s="677">
        <f>SUM(T42:T45)</f>
        <v>0</v>
      </c>
      <c r="U46" s="678"/>
      <c r="V46" s="627">
        <f>X46+Z46+AB46+AD46</f>
        <v>8620</v>
      </c>
      <c r="W46" s="628"/>
      <c r="X46" s="627">
        <f>H35+N35+X35+H46+N46</f>
        <v>395</v>
      </c>
      <c r="Y46" s="628"/>
      <c r="Z46" s="627">
        <f>J35+P35+Z35+I46+P46</f>
        <v>1210</v>
      </c>
      <c r="AA46" s="628"/>
      <c r="AB46" s="731">
        <f>J35+R35+AB35+J46+R46</f>
        <v>6690</v>
      </c>
      <c r="AC46" s="732"/>
      <c r="AD46" s="731">
        <f>K35+T35+AD35+K46+T46</f>
        <v>325</v>
      </c>
      <c r="AE46" s="732"/>
    </row>
    <row r="47" spans="1:31" ht="20.100000000000001" customHeight="1">
      <c r="A47" s="654" t="s">
        <v>718</v>
      </c>
      <c r="B47" s="542"/>
      <c r="C47" s="542"/>
      <c r="D47" s="542"/>
      <c r="E47" s="542"/>
      <c r="F47" s="559"/>
      <c r="G47" s="10"/>
      <c r="H47" s="10"/>
      <c r="I47" s="10"/>
      <c r="J47" s="10"/>
      <c r="K47" s="10"/>
      <c r="L47" s="722"/>
      <c r="M47" s="723"/>
      <c r="N47" s="720"/>
      <c r="O47" s="721"/>
      <c r="P47" s="625"/>
      <c r="Q47" s="626"/>
      <c r="R47" s="625"/>
      <c r="S47" s="626"/>
      <c r="T47" s="625"/>
      <c r="U47" s="626"/>
      <c r="V47" s="722"/>
      <c r="W47" s="723"/>
      <c r="X47" s="720"/>
      <c r="Y47" s="721"/>
      <c r="Z47" s="625"/>
      <c r="AA47" s="626"/>
      <c r="AB47" s="625"/>
      <c r="AC47" s="626"/>
      <c r="AD47" s="625"/>
      <c r="AE47" s="626"/>
    </row>
    <row r="48" spans="1:31" ht="9" customHeight="1">
      <c r="A48" s="47"/>
      <c r="B48" s="47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47"/>
      <c r="T48" s="47"/>
      <c r="U48" s="47"/>
      <c r="V48" s="47"/>
      <c r="W48" s="84"/>
      <c r="X48" s="47"/>
      <c r="Y48" s="47"/>
      <c r="Z48" s="47"/>
      <c r="AA48" s="47"/>
    </row>
    <row r="49" spans="1:31" s="34" customFormat="1" ht="24" customHeight="1">
      <c r="B49" s="34" t="s">
        <v>1029</v>
      </c>
    </row>
    <row r="50" spans="1:31" s="70" customFormat="1" ht="9.75" customHeight="1">
      <c r="A50" s="1"/>
      <c r="B50" s="1"/>
      <c r="C50" s="1"/>
      <c r="D50" s="1"/>
      <c r="E50" s="1"/>
      <c r="F50" s="1"/>
      <c r="G50" s="1"/>
      <c r="H50" s="1"/>
      <c r="I50" s="1"/>
      <c r="K50" s="1"/>
      <c r="AD50" s="69" t="s">
        <v>863</v>
      </c>
    </row>
    <row r="51" spans="1:31" s="71" customFormat="1" ht="23.25" customHeight="1">
      <c r="A51" s="631" t="s">
        <v>844</v>
      </c>
      <c r="B51" s="567" t="s">
        <v>897</v>
      </c>
      <c r="C51" s="567" t="s">
        <v>919</v>
      </c>
      <c r="D51" s="567"/>
      <c r="E51" s="567" t="s">
        <v>845</v>
      </c>
      <c r="F51" s="567"/>
      <c r="G51" s="567" t="s">
        <v>846</v>
      </c>
      <c r="H51" s="567"/>
      <c r="I51" s="567" t="s">
        <v>891</v>
      </c>
      <c r="J51" s="567"/>
      <c r="K51" s="567" t="s">
        <v>794</v>
      </c>
      <c r="L51" s="567"/>
      <c r="M51" s="567"/>
      <c r="N51" s="567"/>
      <c r="O51" s="567"/>
      <c r="P51" s="567"/>
      <c r="Q51" s="567"/>
      <c r="R51" s="567"/>
      <c r="S51" s="567"/>
      <c r="T51" s="567"/>
      <c r="U51" s="567" t="s">
        <v>920</v>
      </c>
      <c r="V51" s="567"/>
      <c r="W51" s="567"/>
      <c r="X51" s="567"/>
      <c r="Y51" s="567"/>
      <c r="Z51" s="567" t="s">
        <v>895</v>
      </c>
      <c r="AA51" s="567"/>
      <c r="AB51" s="567"/>
      <c r="AC51" s="567"/>
      <c r="AD51" s="567"/>
      <c r="AE51" s="567"/>
    </row>
    <row r="52" spans="1:31" s="71" customFormat="1" ht="24" customHeight="1">
      <c r="A52" s="631"/>
      <c r="B52" s="567"/>
      <c r="C52" s="567"/>
      <c r="D52" s="567"/>
      <c r="E52" s="567"/>
      <c r="F52" s="567"/>
      <c r="G52" s="567"/>
      <c r="H52" s="567"/>
      <c r="I52" s="567"/>
      <c r="J52" s="567"/>
      <c r="K52" s="567" t="s">
        <v>930</v>
      </c>
      <c r="L52" s="567"/>
      <c r="M52" s="792" t="s">
        <v>931</v>
      </c>
      <c r="N52" s="793"/>
      <c r="O52" s="567" t="s">
        <v>918</v>
      </c>
      <c r="P52" s="567"/>
      <c r="Q52" s="567"/>
      <c r="R52" s="567"/>
      <c r="S52" s="567"/>
      <c r="T52" s="567"/>
      <c r="U52" s="567"/>
      <c r="V52" s="567"/>
      <c r="W52" s="567"/>
      <c r="X52" s="567"/>
      <c r="Y52" s="567"/>
      <c r="Z52" s="567"/>
      <c r="AA52" s="567"/>
      <c r="AB52" s="567"/>
      <c r="AC52" s="567"/>
      <c r="AD52" s="567"/>
      <c r="AE52" s="567"/>
    </row>
    <row r="53" spans="1:31" s="72" customFormat="1" ht="105" customHeight="1">
      <c r="A53" s="631"/>
      <c r="B53" s="567"/>
      <c r="C53" s="567"/>
      <c r="D53" s="567"/>
      <c r="E53" s="567"/>
      <c r="F53" s="567"/>
      <c r="G53" s="567"/>
      <c r="H53" s="567"/>
      <c r="I53" s="567"/>
      <c r="J53" s="567"/>
      <c r="K53" s="567"/>
      <c r="L53" s="567"/>
      <c r="M53" s="794"/>
      <c r="N53" s="795"/>
      <c r="O53" s="567" t="s">
        <v>892</v>
      </c>
      <c r="P53" s="567"/>
      <c r="Q53" s="567" t="s">
        <v>893</v>
      </c>
      <c r="R53" s="567"/>
      <c r="S53" s="567" t="s">
        <v>894</v>
      </c>
      <c r="T53" s="567"/>
      <c r="U53" s="567"/>
      <c r="V53" s="567"/>
      <c r="W53" s="567"/>
      <c r="X53" s="567"/>
      <c r="Y53" s="567"/>
      <c r="Z53" s="567"/>
      <c r="AA53" s="567"/>
      <c r="AB53" s="567"/>
      <c r="AC53" s="567"/>
      <c r="AD53" s="567"/>
      <c r="AE53" s="567"/>
    </row>
    <row r="54" spans="1:31" s="71" customFormat="1" ht="12" customHeight="1">
      <c r="A54" s="114">
        <v>1</v>
      </c>
      <c r="B54" s="110">
        <v>2</v>
      </c>
      <c r="C54" s="617">
        <v>3</v>
      </c>
      <c r="D54" s="617"/>
      <c r="E54" s="617">
        <v>4</v>
      </c>
      <c r="F54" s="617"/>
      <c r="G54" s="617">
        <v>5</v>
      </c>
      <c r="H54" s="617"/>
      <c r="I54" s="617">
        <v>6</v>
      </c>
      <c r="J54" s="617"/>
      <c r="K54" s="659">
        <v>7</v>
      </c>
      <c r="L54" s="661"/>
      <c r="M54" s="659">
        <v>8</v>
      </c>
      <c r="N54" s="661"/>
      <c r="O54" s="617">
        <v>9</v>
      </c>
      <c r="P54" s="617"/>
      <c r="Q54" s="631">
        <v>10</v>
      </c>
      <c r="R54" s="631"/>
      <c r="S54" s="617">
        <v>11</v>
      </c>
      <c r="T54" s="617"/>
      <c r="U54" s="617">
        <v>12</v>
      </c>
      <c r="V54" s="617"/>
      <c r="W54" s="617"/>
      <c r="X54" s="617"/>
      <c r="Y54" s="617"/>
      <c r="Z54" s="617">
        <v>13</v>
      </c>
      <c r="AA54" s="617"/>
      <c r="AB54" s="617"/>
      <c r="AC54" s="617"/>
      <c r="AD54" s="617"/>
      <c r="AE54" s="617"/>
    </row>
    <row r="55" spans="1:31" s="71" customFormat="1" ht="9.75" customHeight="1">
      <c r="A55" s="85"/>
      <c r="B55" s="87"/>
      <c r="C55" s="670"/>
      <c r="D55" s="670"/>
      <c r="E55" s="629"/>
      <c r="F55" s="629"/>
      <c r="G55" s="629"/>
      <c r="H55" s="629"/>
      <c r="I55" s="629"/>
      <c r="J55" s="629"/>
      <c r="K55" s="625"/>
      <c r="L55" s="626"/>
      <c r="M55" s="677">
        <f>SUM(O55,Q55,S55)</f>
        <v>0</v>
      </c>
      <c r="N55" s="678"/>
      <c r="O55" s="629"/>
      <c r="P55" s="629"/>
      <c r="Q55" s="629"/>
      <c r="R55" s="629"/>
      <c r="S55" s="629"/>
      <c r="T55" s="629"/>
      <c r="U55" s="738"/>
      <c r="V55" s="738"/>
      <c r="W55" s="738"/>
      <c r="X55" s="738"/>
      <c r="Y55" s="738"/>
      <c r="Z55" s="750"/>
      <c r="AA55" s="750"/>
      <c r="AB55" s="750"/>
      <c r="AC55" s="750"/>
      <c r="AD55" s="750"/>
      <c r="AE55" s="750"/>
    </row>
    <row r="56" spans="1:31" s="71" customFormat="1" ht="9.75" customHeight="1">
      <c r="A56" s="85"/>
      <c r="B56" s="87"/>
      <c r="C56" s="670"/>
      <c r="D56" s="670"/>
      <c r="E56" s="629"/>
      <c r="F56" s="629"/>
      <c r="G56" s="629"/>
      <c r="H56" s="629"/>
      <c r="I56" s="629"/>
      <c r="J56" s="629"/>
      <c r="K56" s="625"/>
      <c r="L56" s="626"/>
      <c r="M56" s="677">
        <f>SUM(O56,Q56,S56)</f>
        <v>0</v>
      </c>
      <c r="N56" s="678"/>
      <c r="O56" s="629"/>
      <c r="P56" s="629"/>
      <c r="Q56" s="629"/>
      <c r="R56" s="629"/>
      <c r="S56" s="629"/>
      <c r="T56" s="629"/>
      <c r="U56" s="738"/>
      <c r="V56" s="738"/>
      <c r="W56" s="738"/>
      <c r="X56" s="738"/>
      <c r="Y56" s="738"/>
      <c r="Z56" s="750"/>
      <c r="AA56" s="750"/>
      <c r="AB56" s="750"/>
      <c r="AC56" s="750"/>
      <c r="AD56" s="750"/>
      <c r="AE56" s="750"/>
    </row>
    <row r="57" spans="1:31" s="71" customFormat="1" ht="10.5" customHeight="1">
      <c r="A57" s="85"/>
      <c r="B57" s="87"/>
      <c r="C57" s="670"/>
      <c r="D57" s="670"/>
      <c r="E57" s="629"/>
      <c r="F57" s="629"/>
      <c r="G57" s="629"/>
      <c r="H57" s="629"/>
      <c r="I57" s="629"/>
      <c r="J57" s="629"/>
      <c r="K57" s="625"/>
      <c r="L57" s="626"/>
      <c r="M57" s="677">
        <f>SUM(O57,Q57,S57)</f>
        <v>0</v>
      </c>
      <c r="N57" s="678"/>
      <c r="O57" s="629"/>
      <c r="P57" s="629"/>
      <c r="Q57" s="629"/>
      <c r="R57" s="629"/>
      <c r="S57" s="629"/>
      <c r="T57" s="629"/>
      <c r="U57" s="738"/>
      <c r="V57" s="738"/>
      <c r="W57" s="738"/>
      <c r="X57" s="738"/>
      <c r="Y57" s="738"/>
      <c r="Z57" s="750"/>
      <c r="AA57" s="750"/>
      <c r="AB57" s="750"/>
      <c r="AC57" s="750"/>
      <c r="AD57" s="750"/>
      <c r="AE57" s="750"/>
    </row>
    <row r="58" spans="1:31" s="71" customFormat="1" ht="16.5" customHeight="1">
      <c r="A58" s="654" t="s">
        <v>717</v>
      </c>
      <c r="B58" s="542"/>
      <c r="C58" s="542"/>
      <c r="D58" s="559"/>
      <c r="E58" s="734">
        <f>SUM(E55:F57)</f>
        <v>0</v>
      </c>
      <c r="F58" s="734"/>
      <c r="G58" s="734">
        <f>SUM(G55:H57)</f>
        <v>0</v>
      </c>
      <c r="H58" s="734"/>
      <c r="I58" s="734">
        <f>SUM(I55:J57)</f>
        <v>0</v>
      </c>
      <c r="J58" s="734"/>
      <c r="K58" s="734">
        <f>SUM(K55:L57)</f>
        <v>0</v>
      </c>
      <c r="L58" s="734"/>
      <c r="M58" s="734">
        <f>SUM(M55:N57)</f>
        <v>0</v>
      </c>
      <c r="N58" s="734"/>
      <c r="O58" s="734">
        <f>SUM(O55:P57)</f>
        <v>0</v>
      </c>
      <c r="P58" s="734"/>
      <c r="Q58" s="734">
        <f>SUM(Q55:R57)</f>
        <v>0</v>
      </c>
      <c r="R58" s="734"/>
      <c r="S58" s="734">
        <f>SUM(S55:T57)</f>
        <v>0</v>
      </c>
      <c r="T58" s="734"/>
      <c r="U58" s="738"/>
      <c r="V58" s="738"/>
      <c r="W58" s="738"/>
      <c r="X58" s="738"/>
      <c r="Y58" s="738"/>
      <c r="Z58" s="750"/>
      <c r="AA58" s="750"/>
      <c r="AB58" s="750"/>
      <c r="AC58" s="750"/>
      <c r="AD58" s="750"/>
      <c r="AE58" s="750"/>
    </row>
    <row r="59" spans="1:31" s="71" customFormat="1" ht="6" customHeight="1">
      <c r="A59" s="23"/>
      <c r="B59" s="23"/>
      <c r="C59" s="23"/>
      <c r="D59" s="23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7"/>
      <c r="V59" s="137"/>
      <c r="W59" s="137"/>
      <c r="X59" s="137"/>
      <c r="Y59" s="137"/>
      <c r="Z59" s="138"/>
      <c r="AA59" s="138"/>
      <c r="AB59" s="138"/>
      <c r="AC59" s="138"/>
      <c r="AD59" s="138"/>
      <c r="AE59" s="138"/>
    </row>
    <row r="60" spans="1:31" s="71" customFormat="1" ht="30" customHeight="1">
      <c r="A60" s="23"/>
      <c r="B60" s="646" t="s">
        <v>1030</v>
      </c>
      <c r="C60" s="646"/>
      <c r="D60" s="646"/>
      <c r="E60" s="646"/>
      <c r="F60" s="646"/>
      <c r="G60" s="646"/>
      <c r="H60" s="646"/>
      <c r="I60" s="646"/>
      <c r="J60" s="646"/>
      <c r="K60" s="646"/>
      <c r="L60" s="646"/>
      <c r="M60" s="646"/>
      <c r="N60" s="646"/>
      <c r="O60" s="646"/>
      <c r="P60" s="646"/>
      <c r="Q60" s="646"/>
      <c r="R60" s="646"/>
      <c r="S60" s="646"/>
      <c r="T60" s="646"/>
      <c r="U60" s="646"/>
      <c r="V60" s="646"/>
      <c r="W60" s="646"/>
      <c r="X60" s="646"/>
      <c r="Y60" s="646"/>
      <c r="Z60" s="646"/>
      <c r="AA60" s="646"/>
      <c r="AB60" s="646"/>
      <c r="AC60" s="646"/>
      <c r="AD60" s="646"/>
      <c r="AE60" s="646"/>
    </row>
    <row r="61" spans="1:31" s="71" customFormat="1" ht="14.25" customHeight="1">
      <c r="A61" s="656" t="s">
        <v>713</v>
      </c>
      <c r="B61" s="567" t="s">
        <v>873</v>
      </c>
      <c r="C61" s="567"/>
      <c r="D61" s="567"/>
      <c r="E61" s="567"/>
      <c r="F61" s="567"/>
      <c r="G61" s="567"/>
      <c r="H61" s="567"/>
      <c r="I61" s="567"/>
      <c r="J61" s="567"/>
      <c r="K61" s="589" t="s">
        <v>690</v>
      </c>
      <c r="L61" s="589"/>
      <c r="M61" s="589"/>
      <c r="N61" s="739" t="s">
        <v>697</v>
      </c>
      <c r="O61" s="740"/>
      <c r="P61" s="741"/>
      <c r="Q61" s="590" t="s">
        <v>812</v>
      </c>
      <c r="R61" s="590"/>
      <c r="S61" s="590"/>
      <c r="T61" s="567" t="s">
        <v>680</v>
      </c>
      <c r="U61" s="567"/>
      <c r="V61" s="567"/>
      <c r="W61" s="558" t="s">
        <v>918</v>
      </c>
      <c r="X61" s="558"/>
      <c r="Y61" s="558"/>
      <c r="Z61" s="558"/>
      <c r="AA61" s="558"/>
      <c r="AB61" s="558"/>
      <c r="AC61" s="558"/>
      <c r="AD61" s="558"/>
      <c r="AE61" s="138"/>
    </row>
    <row r="62" spans="1:31" s="71" customFormat="1" ht="10.5" customHeight="1">
      <c r="A62" s="802"/>
      <c r="B62" s="567"/>
      <c r="C62" s="567"/>
      <c r="D62" s="567"/>
      <c r="E62" s="567"/>
      <c r="F62" s="567"/>
      <c r="G62" s="567"/>
      <c r="H62" s="567"/>
      <c r="I62" s="567"/>
      <c r="J62" s="567"/>
      <c r="K62" s="589"/>
      <c r="L62" s="589"/>
      <c r="M62" s="589"/>
      <c r="N62" s="742"/>
      <c r="O62" s="743"/>
      <c r="P62" s="744"/>
      <c r="Q62" s="590"/>
      <c r="R62" s="590"/>
      <c r="S62" s="590"/>
      <c r="T62" s="567"/>
      <c r="U62" s="567"/>
      <c r="V62" s="567"/>
      <c r="W62" s="590" t="s">
        <v>824</v>
      </c>
      <c r="X62" s="590"/>
      <c r="Y62" s="590" t="s">
        <v>825</v>
      </c>
      <c r="Z62" s="590"/>
      <c r="AA62" s="590" t="s">
        <v>826</v>
      </c>
      <c r="AB62" s="590"/>
      <c r="AC62" s="590" t="s">
        <v>735</v>
      </c>
      <c r="AD62" s="590"/>
      <c r="AE62" s="138"/>
    </row>
    <row r="63" spans="1:31" s="71" customFormat="1" ht="48.75" customHeight="1">
      <c r="A63" s="657"/>
      <c r="B63" s="567"/>
      <c r="C63" s="567"/>
      <c r="D63" s="567"/>
      <c r="E63" s="567"/>
      <c r="F63" s="567"/>
      <c r="G63" s="567"/>
      <c r="H63" s="567"/>
      <c r="I63" s="567"/>
      <c r="J63" s="567"/>
      <c r="K63" s="589"/>
      <c r="L63" s="589"/>
      <c r="M63" s="589"/>
      <c r="N63" s="745"/>
      <c r="O63" s="746"/>
      <c r="P63" s="747"/>
      <c r="Q63" s="590"/>
      <c r="R63" s="590"/>
      <c r="S63" s="590"/>
      <c r="T63" s="567"/>
      <c r="U63" s="567"/>
      <c r="V63" s="567"/>
      <c r="W63" s="590"/>
      <c r="X63" s="590"/>
      <c r="Y63" s="590"/>
      <c r="Z63" s="590"/>
      <c r="AA63" s="590"/>
      <c r="AB63" s="590"/>
      <c r="AC63" s="590"/>
      <c r="AD63" s="590"/>
      <c r="AE63" s="138"/>
    </row>
    <row r="64" spans="1:31" s="71" customFormat="1" ht="9.75" customHeight="1">
      <c r="A64" s="115">
        <v>1</v>
      </c>
      <c r="B64" s="580">
        <v>2</v>
      </c>
      <c r="C64" s="580"/>
      <c r="D64" s="580"/>
      <c r="E64" s="580"/>
      <c r="F64" s="580"/>
      <c r="G64" s="580"/>
      <c r="H64" s="580"/>
      <c r="I64" s="580"/>
      <c r="J64" s="580"/>
      <c r="K64" s="726">
        <v>3</v>
      </c>
      <c r="L64" s="726"/>
      <c r="M64" s="726"/>
      <c r="N64" s="726">
        <v>4</v>
      </c>
      <c r="O64" s="726"/>
      <c r="P64" s="726"/>
      <c r="Q64" s="726">
        <v>5</v>
      </c>
      <c r="R64" s="726"/>
      <c r="S64" s="726"/>
      <c r="T64" s="726">
        <v>6</v>
      </c>
      <c r="U64" s="726"/>
      <c r="V64" s="726"/>
      <c r="W64" s="727" t="s">
        <v>951</v>
      </c>
      <c r="X64" s="727"/>
      <c r="Y64" s="727" t="s">
        <v>952</v>
      </c>
      <c r="Z64" s="727"/>
      <c r="AA64" s="727" t="s">
        <v>953</v>
      </c>
      <c r="AB64" s="727"/>
      <c r="AC64" s="727" t="s">
        <v>954</v>
      </c>
      <c r="AD64" s="727"/>
      <c r="AE64" s="138"/>
    </row>
    <row r="65" spans="1:31" s="71" customFormat="1" ht="18.75" customHeight="1">
      <c r="A65" s="110">
        <v>1</v>
      </c>
      <c r="B65" s="695" t="s">
        <v>977</v>
      </c>
      <c r="C65" s="695"/>
      <c r="D65" s="695"/>
      <c r="E65" s="695"/>
      <c r="F65" s="695"/>
      <c r="G65" s="695"/>
      <c r="H65" s="695"/>
      <c r="I65" s="695"/>
      <c r="J65" s="695"/>
      <c r="K65" s="618"/>
      <c r="L65" s="618"/>
      <c r="M65" s="618"/>
      <c r="N65" s="618"/>
      <c r="O65" s="618"/>
      <c r="P65" s="618"/>
      <c r="Q65" s="618"/>
      <c r="R65" s="618"/>
      <c r="S65" s="618"/>
      <c r="T65" s="618"/>
      <c r="U65" s="618"/>
      <c r="V65" s="618"/>
      <c r="W65" s="618"/>
      <c r="X65" s="618"/>
      <c r="Y65" s="618"/>
      <c r="Z65" s="618"/>
      <c r="AA65" s="618"/>
      <c r="AB65" s="618"/>
      <c r="AC65" s="618"/>
      <c r="AD65" s="618"/>
      <c r="AE65" s="138"/>
    </row>
    <row r="66" spans="1:31" s="71" customFormat="1" ht="15" customHeight="1">
      <c r="A66" s="110"/>
      <c r="B66" s="707" t="s">
        <v>973</v>
      </c>
      <c r="C66" s="707"/>
      <c r="D66" s="707"/>
      <c r="E66" s="707"/>
      <c r="F66" s="707"/>
      <c r="G66" s="707"/>
      <c r="H66" s="707"/>
      <c r="I66" s="707"/>
      <c r="J66" s="707"/>
      <c r="K66" s="632">
        <f>K67</f>
        <v>8745.1</v>
      </c>
      <c r="L66" s="632"/>
      <c r="M66" s="632"/>
      <c r="N66" s="632">
        <f>N67</f>
        <v>0</v>
      </c>
      <c r="O66" s="632"/>
      <c r="P66" s="632"/>
      <c r="Q66" s="632">
        <f>Q67</f>
        <v>0</v>
      </c>
      <c r="R66" s="632"/>
      <c r="S66" s="632"/>
      <c r="T66" s="632">
        <f>T67</f>
        <v>2186</v>
      </c>
      <c r="U66" s="632"/>
      <c r="V66" s="632"/>
      <c r="W66" s="632">
        <f>W67</f>
        <v>0</v>
      </c>
      <c r="X66" s="632"/>
      <c r="Y66" s="632">
        <f>Y67</f>
        <v>0</v>
      </c>
      <c r="Z66" s="632"/>
      <c r="AA66" s="632">
        <f>AA67</f>
        <v>0</v>
      </c>
      <c r="AB66" s="632"/>
      <c r="AC66" s="632">
        <f>AC67</f>
        <v>2186</v>
      </c>
      <c r="AD66" s="632"/>
      <c r="AE66" s="138"/>
    </row>
    <row r="67" spans="1:31" s="71" customFormat="1" ht="15" customHeight="1">
      <c r="A67" s="110"/>
      <c r="B67" s="679" t="s">
        <v>199</v>
      </c>
      <c r="C67" s="679"/>
      <c r="D67" s="679"/>
      <c r="E67" s="679"/>
      <c r="F67" s="679"/>
      <c r="G67" s="679"/>
      <c r="H67" s="679"/>
      <c r="I67" s="679"/>
      <c r="J67" s="679"/>
      <c r="K67" s="618">
        <f ca="1">'ІІІ. Рух грош. коштів'!C12</f>
        <v>8745.1</v>
      </c>
      <c r="L67" s="618"/>
      <c r="M67" s="618"/>
      <c r="N67" s="618">
        <f ca="1">'ІІІ. Рух грош. коштів'!D12</f>
        <v>0</v>
      </c>
      <c r="O67" s="618"/>
      <c r="P67" s="618"/>
      <c r="Q67" s="618"/>
      <c r="R67" s="618"/>
      <c r="S67" s="618"/>
      <c r="T67" s="618">
        <f>W67+Y67+AA67+AC67</f>
        <v>2186</v>
      </c>
      <c r="U67" s="618"/>
      <c r="V67" s="618"/>
      <c r="W67" s="618"/>
      <c r="X67" s="618"/>
      <c r="Y67" s="618"/>
      <c r="Z67" s="618"/>
      <c r="AA67" s="618"/>
      <c r="AB67" s="618"/>
      <c r="AC67" s="618">
        <v>2186</v>
      </c>
      <c r="AD67" s="618"/>
      <c r="AE67" s="138"/>
    </row>
    <row r="68" spans="1:31" s="71" customFormat="1" ht="15" customHeight="1">
      <c r="A68" s="110"/>
      <c r="B68" s="707" t="s">
        <v>974</v>
      </c>
      <c r="C68" s="707"/>
      <c r="D68" s="707"/>
      <c r="E68" s="707"/>
      <c r="F68" s="707"/>
      <c r="G68" s="707"/>
      <c r="H68" s="707"/>
      <c r="I68" s="707"/>
      <c r="J68" s="707"/>
      <c r="K68" s="632">
        <f>K69</f>
        <v>8745.1</v>
      </c>
      <c r="L68" s="632"/>
      <c r="M68" s="632"/>
      <c r="N68" s="632">
        <f>N69</f>
        <v>0</v>
      </c>
      <c r="O68" s="632"/>
      <c r="P68" s="632"/>
      <c r="Q68" s="632">
        <f>Q69</f>
        <v>0</v>
      </c>
      <c r="R68" s="632"/>
      <c r="S68" s="632"/>
      <c r="T68" s="632">
        <f>T69</f>
        <v>2186</v>
      </c>
      <c r="U68" s="632"/>
      <c r="V68" s="632"/>
      <c r="W68" s="618"/>
      <c r="X68" s="618"/>
      <c r="Y68" s="632">
        <f>Y69</f>
        <v>0</v>
      </c>
      <c r="Z68" s="632"/>
      <c r="AA68" s="632">
        <f>AA69</f>
        <v>0</v>
      </c>
      <c r="AB68" s="632"/>
      <c r="AC68" s="632">
        <f>AC69</f>
        <v>2186</v>
      </c>
      <c r="AD68" s="632"/>
      <c r="AE68" s="138"/>
    </row>
    <row r="69" spans="1:31" s="71" customFormat="1" ht="15" customHeight="1">
      <c r="A69" s="110"/>
      <c r="B69" s="679" t="s">
        <v>199</v>
      </c>
      <c r="C69" s="679"/>
      <c r="D69" s="679"/>
      <c r="E69" s="679"/>
      <c r="F69" s="679"/>
      <c r="G69" s="679"/>
      <c r="H69" s="679"/>
      <c r="I69" s="679"/>
      <c r="J69" s="679"/>
      <c r="K69" s="618">
        <f>K67</f>
        <v>8745.1</v>
      </c>
      <c r="L69" s="618"/>
      <c r="M69" s="618"/>
      <c r="N69" s="618">
        <f>N67</f>
        <v>0</v>
      </c>
      <c r="O69" s="618"/>
      <c r="P69" s="618"/>
      <c r="Q69" s="618"/>
      <c r="R69" s="618"/>
      <c r="S69" s="618"/>
      <c r="T69" s="618">
        <f>W69+Y69+AA69+AC69</f>
        <v>2186</v>
      </c>
      <c r="U69" s="618"/>
      <c r="V69" s="618"/>
      <c r="W69" s="618"/>
      <c r="X69" s="618"/>
      <c r="Y69" s="618">
        <f>Y67</f>
        <v>0</v>
      </c>
      <c r="Z69" s="618"/>
      <c r="AA69" s="618">
        <f>AA67</f>
        <v>0</v>
      </c>
      <c r="AB69" s="618"/>
      <c r="AC69" s="618">
        <f>AC67</f>
        <v>2186</v>
      </c>
      <c r="AD69" s="618"/>
      <c r="AE69" s="138"/>
    </row>
    <row r="70" spans="1:31" s="71" customFormat="1" ht="15" customHeight="1">
      <c r="A70" s="110">
        <v>2</v>
      </c>
      <c r="B70" s="735" t="s">
        <v>975</v>
      </c>
      <c r="C70" s="736"/>
      <c r="D70" s="736"/>
      <c r="E70" s="736"/>
      <c r="F70" s="736"/>
      <c r="G70" s="736"/>
      <c r="H70" s="736"/>
      <c r="I70" s="736"/>
      <c r="J70" s="737"/>
      <c r="K70" s="618"/>
      <c r="L70" s="618"/>
      <c r="M70" s="618"/>
      <c r="N70" s="618"/>
      <c r="O70" s="618"/>
      <c r="P70" s="618"/>
      <c r="Q70" s="618"/>
      <c r="R70" s="618"/>
      <c r="S70" s="618"/>
      <c r="T70" s="618"/>
      <c r="U70" s="618"/>
      <c r="V70" s="618"/>
      <c r="W70" s="618"/>
      <c r="X70" s="618"/>
      <c r="Y70" s="618"/>
      <c r="Z70" s="618"/>
      <c r="AA70" s="618"/>
      <c r="AB70" s="618"/>
      <c r="AC70" s="618"/>
      <c r="AD70" s="618"/>
      <c r="AE70" s="138"/>
    </row>
    <row r="71" spans="1:31" s="71" customFormat="1" ht="15" customHeight="1">
      <c r="A71" s="110"/>
      <c r="B71" s="679" t="s">
        <v>973</v>
      </c>
      <c r="C71" s="679"/>
      <c r="D71" s="679"/>
      <c r="E71" s="679"/>
      <c r="F71" s="679"/>
      <c r="G71" s="679"/>
      <c r="H71" s="679"/>
      <c r="I71" s="679"/>
      <c r="J71" s="679"/>
      <c r="K71" s="618"/>
      <c r="L71" s="618"/>
      <c r="M71" s="618"/>
      <c r="N71" s="618"/>
      <c r="O71" s="618"/>
      <c r="P71" s="618"/>
      <c r="Q71" s="618"/>
      <c r="R71" s="618"/>
      <c r="S71" s="618"/>
      <c r="T71" s="618"/>
      <c r="U71" s="618"/>
      <c r="V71" s="618"/>
      <c r="W71" s="618"/>
      <c r="X71" s="618"/>
      <c r="Y71" s="618"/>
      <c r="Z71" s="618"/>
      <c r="AA71" s="618"/>
      <c r="AB71" s="618"/>
      <c r="AC71" s="618"/>
      <c r="AD71" s="618"/>
      <c r="AE71" s="138"/>
    </row>
    <row r="72" spans="1:31" s="71" customFormat="1" ht="16.5" customHeight="1">
      <c r="A72" s="85"/>
      <c r="B72" s="679" t="s">
        <v>974</v>
      </c>
      <c r="C72" s="679"/>
      <c r="D72" s="679"/>
      <c r="E72" s="679"/>
      <c r="F72" s="679"/>
      <c r="G72" s="679"/>
      <c r="H72" s="679"/>
      <c r="I72" s="679"/>
      <c r="J72" s="679"/>
      <c r="K72" s="618"/>
      <c r="L72" s="618"/>
      <c r="M72" s="618"/>
      <c r="N72" s="618"/>
      <c r="O72" s="618"/>
      <c r="P72" s="618"/>
      <c r="Q72" s="618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618"/>
      <c r="AC72" s="618"/>
      <c r="AD72" s="618"/>
      <c r="AE72" s="138"/>
    </row>
    <row r="73" spans="1:31" s="71" customFormat="1" ht="15" customHeight="1">
      <c r="A73" s="85">
        <v>3</v>
      </c>
      <c r="B73" s="735" t="s">
        <v>976</v>
      </c>
      <c r="C73" s="736"/>
      <c r="D73" s="736"/>
      <c r="E73" s="736"/>
      <c r="F73" s="736"/>
      <c r="G73" s="736"/>
      <c r="H73" s="736"/>
      <c r="I73" s="736"/>
      <c r="J73" s="737"/>
      <c r="K73" s="618"/>
      <c r="L73" s="618"/>
      <c r="M73" s="618"/>
      <c r="N73" s="618"/>
      <c r="O73" s="618"/>
      <c r="P73" s="618"/>
      <c r="Q73" s="618"/>
      <c r="R73" s="618"/>
      <c r="S73" s="618"/>
      <c r="T73" s="618"/>
      <c r="U73" s="618"/>
      <c r="V73" s="618"/>
      <c r="W73" s="618"/>
      <c r="X73" s="618"/>
      <c r="Y73" s="618"/>
      <c r="Z73" s="618"/>
      <c r="AA73" s="618"/>
      <c r="AB73" s="618"/>
      <c r="AC73" s="618"/>
      <c r="AD73" s="618"/>
      <c r="AE73" s="138"/>
    </row>
    <row r="74" spans="1:31" s="71" customFormat="1" ht="15" customHeight="1">
      <c r="A74" s="85"/>
      <c r="B74" s="707" t="s">
        <v>973</v>
      </c>
      <c r="C74" s="707"/>
      <c r="D74" s="707"/>
      <c r="E74" s="707"/>
      <c r="F74" s="707"/>
      <c r="G74" s="707"/>
      <c r="H74" s="707"/>
      <c r="I74" s="707"/>
      <c r="J74" s="707"/>
      <c r="K74" s="632">
        <f>K77+K99+K117+K75</f>
        <v>25398.6</v>
      </c>
      <c r="L74" s="632"/>
      <c r="M74" s="632"/>
      <c r="N74" s="632">
        <f>N77+N99+N117+N75+N76</f>
        <v>13021.5</v>
      </c>
      <c r="O74" s="632"/>
      <c r="P74" s="632"/>
      <c r="Q74" s="632">
        <f>Q77+Q99+Q117+Q75+Q76</f>
        <v>15341.480000000001</v>
      </c>
      <c r="R74" s="632"/>
      <c r="S74" s="632"/>
      <c r="T74" s="632">
        <f>T77+T117+T75</f>
        <v>34903</v>
      </c>
      <c r="U74" s="632"/>
      <c r="V74" s="632"/>
      <c r="W74" s="681">
        <f>W77+W117+W75</f>
        <v>11250</v>
      </c>
      <c r="X74" s="681"/>
      <c r="Y74" s="681">
        <f>Y77+Y117+Y75</f>
        <v>14187.3</v>
      </c>
      <c r="Z74" s="681"/>
      <c r="AA74" s="681">
        <f>AA77+AA117+AA75</f>
        <v>9446.7000000000007</v>
      </c>
      <c r="AB74" s="681"/>
      <c r="AC74" s="681">
        <f>AC77+AC117+AC75</f>
        <v>19</v>
      </c>
      <c r="AD74" s="681"/>
      <c r="AE74" s="138"/>
    </row>
    <row r="75" spans="1:31" s="71" customFormat="1" ht="15" customHeight="1">
      <c r="A75" s="85"/>
      <c r="B75" s="689" t="s">
        <v>660</v>
      </c>
      <c r="C75" s="690"/>
      <c r="D75" s="690"/>
      <c r="E75" s="690"/>
      <c r="F75" s="690"/>
      <c r="G75" s="690"/>
      <c r="H75" s="690"/>
      <c r="I75" s="690"/>
      <c r="J75" s="691"/>
      <c r="K75" s="620">
        <f ca="1">'ІІІ. Рух грош. коштів'!C16</f>
        <v>531.29999999999995</v>
      </c>
      <c r="L75" s="705"/>
      <c r="M75" s="621"/>
      <c r="N75" s="620">
        <f ca="1">'ІІІ. Рух грош. коштів'!D16</f>
        <v>737.3</v>
      </c>
      <c r="O75" s="705"/>
      <c r="P75" s="621"/>
      <c r="Q75" s="618">
        <f ca="1">'ІІІ. Рух грош. коштів'!E16</f>
        <v>737.28</v>
      </c>
      <c r="R75" s="618"/>
      <c r="S75" s="618"/>
      <c r="T75" s="688">
        <f>Y75+AA75+AC75</f>
        <v>853</v>
      </c>
      <c r="U75" s="688"/>
      <c r="V75" s="688"/>
      <c r="W75" s="685"/>
      <c r="X75" s="685"/>
      <c r="Y75" s="685">
        <f ca="1">'ІІІ. Рух грош. коштів'!H16</f>
        <v>387.3</v>
      </c>
      <c r="Z75" s="685"/>
      <c r="AA75" s="685">
        <f ca="1">'ІІІ. Рух грош. коштів'!I16</f>
        <v>446.7</v>
      </c>
      <c r="AB75" s="685"/>
      <c r="AC75" s="685">
        <f ca="1">'ІІІ. Рух грош. коштів'!J16</f>
        <v>19</v>
      </c>
      <c r="AD75" s="685"/>
      <c r="AE75" s="138"/>
    </row>
    <row r="76" spans="1:31" s="71" customFormat="1" ht="36.75" customHeight="1">
      <c r="A76" s="85"/>
      <c r="B76" s="689" t="s">
        <v>234</v>
      </c>
      <c r="C76" s="690"/>
      <c r="D76" s="690"/>
      <c r="E76" s="690"/>
      <c r="F76" s="690"/>
      <c r="G76" s="690"/>
      <c r="H76" s="690"/>
      <c r="I76" s="690"/>
      <c r="J76" s="691"/>
      <c r="K76" s="618"/>
      <c r="L76" s="618"/>
      <c r="M76" s="618"/>
      <c r="N76" s="686">
        <v>1495</v>
      </c>
      <c r="O76" s="717"/>
      <c r="P76" s="687"/>
      <c r="Q76" s="618">
        <v>1495</v>
      </c>
      <c r="R76" s="618"/>
      <c r="S76" s="618"/>
      <c r="T76" s="688">
        <f>W76+Y76+AA76+AC76</f>
        <v>0</v>
      </c>
      <c r="U76" s="688"/>
      <c r="V76" s="688"/>
      <c r="W76" s="685"/>
      <c r="X76" s="685"/>
      <c r="Y76" s="711"/>
      <c r="Z76" s="712"/>
      <c r="AA76" s="685"/>
      <c r="AB76" s="685"/>
      <c r="AC76" s="685"/>
      <c r="AD76" s="685"/>
      <c r="AE76" s="138"/>
    </row>
    <row r="77" spans="1:31" s="71" customFormat="1" ht="15" customHeight="1">
      <c r="A77" s="85"/>
      <c r="B77" s="695" t="s">
        <v>202</v>
      </c>
      <c r="C77" s="707"/>
      <c r="D77" s="707"/>
      <c r="E77" s="707"/>
      <c r="F77" s="707"/>
      <c r="G77" s="707"/>
      <c r="H77" s="707"/>
      <c r="I77" s="707"/>
      <c r="J77" s="707"/>
      <c r="K77" s="632">
        <f>SUM(K78:M98)</f>
        <v>19487.099999999999</v>
      </c>
      <c r="L77" s="632"/>
      <c r="M77" s="632"/>
      <c r="N77" s="632">
        <f>SUM(N78:P98)</f>
        <v>9122</v>
      </c>
      <c r="O77" s="632"/>
      <c r="P77" s="632"/>
      <c r="Q77" s="632">
        <f>SUM(Q78:S98)</f>
        <v>12122</v>
      </c>
      <c r="R77" s="632"/>
      <c r="S77" s="632"/>
      <c r="T77" s="632">
        <f>SUM(T78:V98)</f>
        <v>34050</v>
      </c>
      <c r="U77" s="632"/>
      <c r="V77" s="632"/>
      <c r="W77" s="618">
        <f>SUM(W78:X98)</f>
        <v>11250</v>
      </c>
      <c r="X77" s="618"/>
      <c r="Y77" s="618">
        <f>SUM(Y78:Z98)</f>
        <v>13800</v>
      </c>
      <c r="Z77" s="618"/>
      <c r="AA77" s="618">
        <f>SUM(AA78:AB98)</f>
        <v>9000</v>
      </c>
      <c r="AB77" s="618"/>
      <c r="AC77" s="618">
        <f>SUM(AC78:AD98)</f>
        <v>0</v>
      </c>
      <c r="AD77" s="618"/>
      <c r="AE77" s="138"/>
    </row>
    <row r="78" spans="1:31" s="71" customFormat="1" ht="15" customHeight="1">
      <c r="A78" s="85"/>
      <c r="B78" s="679" t="s">
        <v>469</v>
      </c>
      <c r="C78" s="679"/>
      <c r="D78" s="679"/>
      <c r="E78" s="679"/>
      <c r="F78" s="679"/>
      <c r="G78" s="679"/>
      <c r="H78" s="679"/>
      <c r="I78" s="679"/>
      <c r="J78" s="679"/>
      <c r="K78" s="618">
        <v>1500</v>
      </c>
      <c r="L78" s="618"/>
      <c r="M78" s="618"/>
      <c r="N78" s="618"/>
      <c r="O78" s="618"/>
      <c r="P78" s="618"/>
      <c r="Q78" s="629"/>
      <c r="R78" s="629"/>
      <c r="S78" s="629"/>
      <c r="T78" s="618"/>
      <c r="U78" s="618"/>
      <c r="V78" s="618"/>
      <c r="W78" s="618"/>
      <c r="X78" s="618"/>
      <c r="Y78" s="618"/>
      <c r="Z78" s="618"/>
      <c r="AA78" s="618"/>
      <c r="AB78" s="618"/>
      <c r="AC78" s="618"/>
      <c r="AD78" s="618"/>
      <c r="AE78" s="138"/>
    </row>
    <row r="79" spans="1:31" s="71" customFormat="1" ht="15" hidden="1" customHeight="1">
      <c r="A79" s="85"/>
      <c r="B79" s="679" t="s">
        <v>206</v>
      </c>
      <c r="C79" s="679"/>
      <c r="D79" s="679"/>
      <c r="E79" s="679"/>
      <c r="F79" s="679"/>
      <c r="G79" s="679"/>
      <c r="H79" s="679"/>
      <c r="I79" s="679"/>
      <c r="J79" s="679"/>
      <c r="K79" s="618"/>
      <c r="L79" s="618"/>
      <c r="M79" s="618"/>
      <c r="N79" s="618"/>
      <c r="O79" s="618"/>
      <c r="P79" s="618"/>
      <c r="Q79" s="618"/>
      <c r="R79" s="618"/>
      <c r="S79" s="618"/>
      <c r="T79" s="618"/>
      <c r="U79" s="618"/>
      <c r="V79" s="618"/>
      <c r="W79" s="618"/>
      <c r="X79" s="618"/>
      <c r="Y79" s="618"/>
      <c r="Z79" s="618"/>
      <c r="AA79" s="618"/>
      <c r="AB79" s="618"/>
      <c r="AC79" s="618"/>
      <c r="AD79" s="618"/>
      <c r="AE79" s="138"/>
    </row>
    <row r="80" spans="1:31" s="71" customFormat="1" ht="15" hidden="1" customHeight="1">
      <c r="A80" s="85"/>
      <c r="B80" s="679" t="s">
        <v>207</v>
      </c>
      <c r="C80" s="679"/>
      <c r="D80" s="679"/>
      <c r="E80" s="679"/>
      <c r="F80" s="679"/>
      <c r="G80" s="679"/>
      <c r="H80" s="679"/>
      <c r="I80" s="679"/>
      <c r="J80" s="679"/>
      <c r="K80" s="618"/>
      <c r="L80" s="618"/>
      <c r="M80" s="618"/>
      <c r="N80" s="618"/>
      <c r="O80" s="618"/>
      <c r="P80" s="618"/>
      <c r="Q80" s="618"/>
      <c r="R80" s="618"/>
      <c r="S80" s="618"/>
      <c r="T80" s="618"/>
      <c r="U80" s="618"/>
      <c r="V80" s="618"/>
      <c r="W80" s="618"/>
      <c r="X80" s="618"/>
      <c r="Y80" s="618"/>
      <c r="Z80" s="618"/>
      <c r="AA80" s="618"/>
      <c r="AB80" s="618"/>
      <c r="AC80" s="618"/>
      <c r="AD80" s="618"/>
      <c r="AE80" s="138"/>
    </row>
    <row r="81" spans="1:31" s="71" customFormat="1" ht="39" hidden="1" customHeight="1">
      <c r="A81" s="85"/>
      <c r="B81" s="679" t="s">
        <v>210</v>
      </c>
      <c r="C81" s="679"/>
      <c r="D81" s="679"/>
      <c r="E81" s="679"/>
      <c r="F81" s="679"/>
      <c r="G81" s="679"/>
      <c r="H81" s="679"/>
      <c r="I81" s="679"/>
      <c r="J81" s="679"/>
      <c r="K81" s="618"/>
      <c r="L81" s="618"/>
      <c r="M81" s="618"/>
      <c r="N81" s="618"/>
      <c r="O81" s="618"/>
      <c r="P81" s="618"/>
      <c r="Q81" s="618"/>
      <c r="R81" s="618"/>
      <c r="S81" s="618"/>
      <c r="T81" s="680"/>
      <c r="U81" s="680"/>
      <c r="V81" s="680"/>
      <c r="W81" s="680"/>
      <c r="X81" s="680"/>
      <c r="Y81" s="618"/>
      <c r="Z81" s="618"/>
      <c r="AA81" s="618"/>
      <c r="AB81" s="618"/>
      <c r="AC81" s="618"/>
      <c r="AD81" s="618"/>
      <c r="AE81" s="138"/>
    </row>
    <row r="82" spans="1:31" s="71" customFormat="1" ht="15" customHeight="1">
      <c r="A82" s="85"/>
      <c r="B82" s="679" t="s">
        <v>204</v>
      </c>
      <c r="C82" s="679"/>
      <c r="D82" s="679"/>
      <c r="E82" s="679"/>
      <c r="F82" s="679"/>
      <c r="G82" s="679"/>
      <c r="H82" s="679"/>
      <c r="I82" s="679"/>
      <c r="J82" s="679"/>
      <c r="K82" s="618">
        <v>1612.7</v>
      </c>
      <c r="L82" s="618"/>
      <c r="M82" s="618"/>
      <c r="N82" s="618"/>
      <c r="O82" s="618"/>
      <c r="P82" s="618"/>
      <c r="Q82" s="618"/>
      <c r="R82" s="618"/>
      <c r="S82" s="618"/>
      <c r="T82" s="618"/>
      <c r="U82" s="618"/>
      <c r="V82" s="618"/>
      <c r="W82" s="618"/>
      <c r="X82" s="618"/>
      <c r="Y82" s="618"/>
      <c r="Z82" s="618"/>
      <c r="AA82" s="618"/>
      <c r="AB82" s="618"/>
      <c r="AC82" s="618"/>
      <c r="AD82" s="618"/>
      <c r="AE82" s="138"/>
    </row>
    <row r="83" spans="1:31" s="71" customFormat="1" ht="15" hidden="1" customHeight="1">
      <c r="A83" s="85"/>
      <c r="B83" s="679" t="s">
        <v>461</v>
      </c>
      <c r="C83" s="679"/>
      <c r="D83" s="679"/>
      <c r="E83" s="679"/>
      <c r="F83" s="679"/>
      <c r="G83" s="679"/>
      <c r="H83" s="679"/>
      <c r="I83" s="679"/>
      <c r="J83" s="679"/>
      <c r="K83" s="618"/>
      <c r="L83" s="618"/>
      <c r="M83" s="618"/>
      <c r="N83" s="618"/>
      <c r="O83" s="618"/>
      <c r="P83" s="618"/>
      <c r="Q83" s="618"/>
      <c r="R83" s="618"/>
      <c r="S83" s="618"/>
      <c r="T83" s="618"/>
      <c r="U83" s="618"/>
      <c r="V83" s="618"/>
      <c r="W83" s="618"/>
      <c r="X83" s="618"/>
      <c r="Y83" s="618"/>
      <c r="Z83" s="618"/>
      <c r="AA83" s="618"/>
      <c r="AB83" s="618"/>
      <c r="AC83" s="618"/>
      <c r="AD83" s="618"/>
      <c r="AE83" s="138"/>
    </row>
    <row r="84" spans="1:31" s="71" customFormat="1" ht="15" hidden="1" customHeight="1">
      <c r="A84" s="85"/>
      <c r="B84" s="679" t="s">
        <v>464</v>
      </c>
      <c r="C84" s="679"/>
      <c r="D84" s="679"/>
      <c r="E84" s="679"/>
      <c r="F84" s="679"/>
      <c r="G84" s="679"/>
      <c r="H84" s="679"/>
      <c r="I84" s="679"/>
      <c r="J84" s="679"/>
      <c r="K84" s="618"/>
      <c r="L84" s="618"/>
      <c r="M84" s="618"/>
      <c r="N84" s="618"/>
      <c r="O84" s="618"/>
      <c r="P84" s="618"/>
      <c r="Q84" s="618"/>
      <c r="R84" s="618"/>
      <c r="S84" s="618"/>
      <c r="T84" s="618"/>
      <c r="U84" s="618"/>
      <c r="V84" s="618"/>
      <c r="W84" s="618"/>
      <c r="X84" s="618"/>
      <c r="Y84" s="618"/>
      <c r="Z84" s="618"/>
      <c r="AA84" s="618"/>
      <c r="AB84" s="618"/>
      <c r="AC84" s="618"/>
      <c r="AD84" s="618"/>
      <c r="AE84" s="138"/>
    </row>
    <row r="85" spans="1:31" s="71" customFormat="1" ht="15" customHeight="1">
      <c r="A85" s="85"/>
      <c r="B85" s="679" t="s">
        <v>453</v>
      </c>
      <c r="C85" s="679"/>
      <c r="D85" s="679"/>
      <c r="E85" s="679"/>
      <c r="F85" s="679"/>
      <c r="G85" s="679"/>
      <c r="H85" s="679"/>
      <c r="I85" s="679"/>
      <c r="J85" s="679"/>
      <c r="K85" s="618">
        <v>3000</v>
      </c>
      <c r="L85" s="618"/>
      <c r="M85" s="618"/>
      <c r="N85" s="618"/>
      <c r="O85" s="618"/>
      <c r="P85" s="618"/>
      <c r="Q85" s="618"/>
      <c r="R85" s="618"/>
      <c r="S85" s="618"/>
      <c r="T85" s="618"/>
      <c r="U85" s="618"/>
      <c r="V85" s="618"/>
      <c r="W85" s="618"/>
      <c r="X85" s="618"/>
      <c r="Y85" s="618"/>
      <c r="Z85" s="618"/>
      <c r="AA85" s="618"/>
      <c r="AB85" s="618"/>
      <c r="AC85" s="618"/>
      <c r="AD85" s="618"/>
      <c r="AE85" s="138"/>
    </row>
    <row r="86" spans="1:31" s="71" customFormat="1">
      <c r="A86" s="85"/>
      <c r="B86" s="682" t="s">
        <v>470</v>
      </c>
      <c r="C86" s="682"/>
      <c r="D86" s="682"/>
      <c r="E86" s="682"/>
      <c r="F86" s="682"/>
      <c r="G86" s="682"/>
      <c r="H86" s="682"/>
      <c r="I86" s="682"/>
      <c r="J86" s="682"/>
      <c r="K86" s="618">
        <v>928.8</v>
      </c>
      <c r="L86" s="618"/>
      <c r="M86" s="618"/>
      <c r="N86" s="618"/>
      <c r="O86" s="618"/>
      <c r="P86" s="618"/>
      <c r="Q86" s="618"/>
      <c r="R86" s="618"/>
      <c r="S86" s="618"/>
      <c r="T86" s="618"/>
      <c r="U86" s="618"/>
      <c r="V86" s="618"/>
      <c r="W86" s="618"/>
      <c r="X86" s="618"/>
      <c r="Y86" s="618"/>
      <c r="Z86" s="618"/>
      <c r="AA86" s="618"/>
      <c r="AB86" s="618"/>
      <c r="AC86" s="618"/>
      <c r="AD86" s="618"/>
      <c r="AE86" s="138"/>
    </row>
    <row r="87" spans="1:31" s="71" customFormat="1" ht="15" customHeight="1">
      <c r="A87" s="85"/>
      <c r="B87" s="679" t="s">
        <v>205</v>
      </c>
      <c r="C87" s="679"/>
      <c r="D87" s="679"/>
      <c r="E87" s="679"/>
      <c r="F87" s="679"/>
      <c r="G87" s="679"/>
      <c r="H87" s="679"/>
      <c r="I87" s="679"/>
      <c r="J87" s="679"/>
      <c r="K87" s="618">
        <v>225.3</v>
      </c>
      <c r="L87" s="618"/>
      <c r="M87" s="618"/>
      <c r="N87" s="618"/>
      <c r="O87" s="618"/>
      <c r="P87" s="618"/>
      <c r="Q87" s="618"/>
      <c r="R87" s="618"/>
      <c r="S87" s="618"/>
      <c r="T87" s="618"/>
      <c r="U87" s="618"/>
      <c r="V87" s="618"/>
      <c r="W87" s="618"/>
      <c r="X87" s="618"/>
      <c r="Y87" s="618"/>
      <c r="Z87" s="618"/>
      <c r="AA87" s="618"/>
      <c r="AB87" s="618"/>
      <c r="AC87" s="618"/>
      <c r="AD87" s="618"/>
      <c r="AE87" s="138"/>
    </row>
    <row r="88" spans="1:31" s="71" customFormat="1" ht="15" customHeight="1">
      <c r="A88" s="85"/>
      <c r="B88" s="679" t="s">
        <v>471</v>
      </c>
      <c r="C88" s="679"/>
      <c r="D88" s="679"/>
      <c r="E88" s="679"/>
      <c r="F88" s="679"/>
      <c r="G88" s="679"/>
      <c r="H88" s="679"/>
      <c r="I88" s="679"/>
      <c r="J88" s="679"/>
      <c r="K88" s="618">
        <v>1530</v>
      </c>
      <c r="L88" s="618"/>
      <c r="M88" s="618"/>
      <c r="N88" s="618"/>
      <c r="O88" s="618"/>
      <c r="P88" s="618"/>
      <c r="Q88" s="618"/>
      <c r="R88" s="618"/>
      <c r="S88" s="618"/>
      <c r="T88" s="618"/>
      <c r="U88" s="618"/>
      <c r="V88" s="618"/>
      <c r="W88" s="618"/>
      <c r="X88" s="618"/>
      <c r="Y88" s="618"/>
      <c r="Z88" s="618"/>
      <c r="AA88" s="618"/>
      <c r="AB88" s="618"/>
      <c r="AC88" s="618"/>
      <c r="AD88" s="618"/>
      <c r="AE88" s="138"/>
    </row>
    <row r="89" spans="1:31" s="71" customFormat="1" ht="15" customHeight="1">
      <c r="A89" s="85"/>
      <c r="B89" s="679" t="s">
        <v>472</v>
      </c>
      <c r="C89" s="679"/>
      <c r="D89" s="679"/>
      <c r="E89" s="679"/>
      <c r="F89" s="679"/>
      <c r="G89" s="679"/>
      <c r="H89" s="679"/>
      <c r="I89" s="679"/>
      <c r="J89" s="679"/>
      <c r="K89" s="618">
        <v>300</v>
      </c>
      <c r="L89" s="618"/>
      <c r="M89" s="618"/>
      <c r="N89" s="618"/>
      <c r="O89" s="618"/>
      <c r="P89" s="618"/>
      <c r="Q89" s="618"/>
      <c r="R89" s="618"/>
      <c r="S89" s="618"/>
      <c r="T89" s="671"/>
      <c r="U89" s="671"/>
      <c r="V89" s="671"/>
      <c r="W89" s="671"/>
      <c r="X89" s="671"/>
      <c r="Y89" s="671"/>
      <c r="Z89" s="671"/>
      <c r="AA89" s="671"/>
      <c r="AB89" s="671"/>
      <c r="AC89" s="671"/>
      <c r="AD89" s="671"/>
      <c r="AE89" s="138"/>
    </row>
    <row r="90" spans="1:31" s="71" customFormat="1" ht="15" customHeight="1">
      <c r="A90" s="85"/>
      <c r="B90" s="679" t="s">
        <v>473</v>
      </c>
      <c r="C90" s="679"/>
      <c r="D90" s="679"/>
      <c r="E90" s="679"/>
      <c r="F90" s="679"/>
      <c r="G90" s="679"/>
      <c r="H90" s="679"/>
      <c r="I90" s="679"/>
      <c r="J90" s="679"/>
      <c r="K90" s="618">
        <v>179.9</v>
      </c>
      <c r="L90" s="618"/>
      <c r="M90" s="618"/>
      <c r="N90" s="618"/>
      <c r="O90" s="618"/>
      <c r="P90" s="618"/>
      <c r="Q90" s="618"/>
      <c r="R90" s="618"/>
      <c r="S90" s="618"/>
      <c r="T90" s="671"/>
      <c r="U90" s="671"/>
      <c r="V90" s="671"/>
      <c r="W90" s="671"/>
      <c r="X90" s="671"/>
      <c r="Y90" s="671"/>
      <c r="Z90" s="671"/>
      <c r="AA90" s="671"/>
      <c r="AB90" s="671"/>
      <c r="AC90" s="671"/>
      <c r="AD90" s="671"/>
      <c r="AE90" s="138"/>
    </row>
    <row r="91" spans="1:31" s="71" customFormat="1" ht="15" customHeight="1">
      <c r="A91" s="85"/>
      <c r="B91" s="679" t="s">
        <v>474</v>
      </c>
      <c r="C91" s="679"/>
      <c r="D91" s="679"/>
      <c r="E91" s="679"/>
      <c r="F91" s="679"/>
      <c r="G91" s="679"/>
      <c r="H91" s="679"/>
      <c r="I91" s="679"/>
      <c r="J91" s="679"/>
      <c r="K91" s="618">
        <v>174</v>
      </c>
      <c r="L91" s="618"/>
      <c r="M91" s="618"/>
      <c r="N91" s="618"/>
      <c r="O91" s="618"/>
      <c r="P91" s="618"/>
      <c r="Q91" s="618"/>
      <c r="R91" s="618"/>
      <c r="S91" s="618"/>
      <c r="T91" s="671"/>
      <c r="U91" s="671"/>
      <c r="V91" s="671"/>
      <c r="W91" s="671"/>
      <c r="X91" s="671"/>
      <c r="Y91" s="671"/>
      <c r="Z91" s="671"/>
      <c r="AA91" s="671"/>
      <c r="AB91" s="671"/>
      <c r="AC91" s="671"/>
      <c r="AD91" s="671"/>
      <c r="AE91" s="138"/>
    </row>
    <row r="92" spans="1:31" s="71" customFormat="1" ht="15" customHeight="1">
      <c r="A92" s="85"/>
      <c r="B92" s="679" t="s">
        <v>475</v>
      </c>
      <c r="C92" s="679"/>
      <c r="D92" s="679"/>
      <c r="E92" s="679"/>
      <c r="F92" s="679"/>
      <c r="G92" s="679"/>
      <c r="H92" s="679"/>
      <c r="I92" s="679"/>
      <c r="J92" s="679"/>
      <c r="K92" s="618">
        <f>70+99.9</f>
        <v>169.9</v>
      </c>
      <c r="L92" s="618"/>
      <c r="M92" s="618"/>
      <c r="N92" s="618"/>
      <c r="O92" s="618"/>
      <c r="P92" s="618"/>
      <c r="Q92" s="618"/>
      <c r="R92" s="618"/>
      <c r="S92" s="618"/>
      <c r="T92" s="671"/>
      <c r="U92" s="671"/>
      <c r="V92" s="671"/>
      <c r="W92" s="671"/>
      <c r="X92" s="671"/>
      <c r="Y92" s="671"/>
      <c r="Z92" s="671"/>
      <c r="AA92" s="671"/>
      <c r="AB92" s="671"/>
      <c r="AC92" s="671"/>
      <c r="AD92" s="671"/>
      <c r="AE92" s="138"/>
    </row>
    <row r="93" spans="1:31" s="71" customFormat="1" ht="15" customHeight="1">
      <c r="A93" s="85"/>
      <c r="B93" s="689" t="s">
        <v>197</v>
      </c>
      <c r="C93" s="690"/>
      <c r="D93" s="690"/>
      <c r="E93" s="690"/>
      <c r="F93" s="690"/>
      <c r="G93" s="690"/>
      <c r="H93" s="690"/>
      <c r="I93" s="690"/>
      <c r="J93" s="691"/>
      <c r="K93" s="618">
        <v>800</v>
      </c>
      <c r="L93" s="618"/>
      <c r="M93" s="618"/>
      <c r="N93" s="680">
        <v>4500</v>
      </c>
      <c r="O93" s="680"/>
      <c r="P93" s="680"/>
      <c r="Q93" s="618">
        <f>1500+6000</f>
        <v>7500</v>
      </c>
      <c r="R93" s="618"/>
      <c r="S93" s="618"/>
      <c r="T93" s="681">
        <f>W93+Y93+AA93+AC93</f>
        <v>27000</v>
      </c>
      <c r="U93" s="681"/>
      <c r="V93" s="681"/>
      <c r="W93" s="680">
        <f>3000+6000</f>
        <v>9000</v>
      </c>
      <c r="X93" s="680"/>
      <c r="Y93" s="618">
        <v>9000</v>
      </c>
      <c r="Z93" s="618"/>
      <c r="AA93" s="815">
        <v>9000</v>
      </c>
      <c r="AB93" s="815"/>
      <c r="AC93" s="618"/>
      <c r="AD93" s="618"/>
      <c r="AE93" s="138"/>
    </row>
    <row r="94" spans="1:31" s="71" customFormat="1" ht="37.5" customHeight="1">
      <c r="A94" s="85"/>
      <c r="B94" s="679" t="s">
        <v>195</v>
      </c>
      <c r="C94" s="679"/>
      <c r="D94" s="679"/>
      <c r="E94" s="679"/>
      <c r="F94" s="679"/>
      <c r="G94" s="679"/>
      <c r="H94" s="679"/>
      <c r="I94" s="679"/>
      <c r="J94" s="679"/>
      <c r="K94" s="618">
        <v>3772.3</v>
      </c>
      <c r="L94" s="618"/>
      <c r="M94" s="618"/>
      <c r="N94" s="680">
        <v>4622</v>
      </c>
      <c r="O94" s="680"/>
      <c r="P94" s="680"/>
      <c r="Q94" s="618">
        <v>4622</v>
      </c>
      <c r="R94" s="618"/>
      <c r="S94" s="618"/>
      <c r="T94" s="681">
        <f>W94+Y94+AA94+AC94</f>
        <v>2150</v>
      </c>
      <c r="U94" s="681"/>
      <c r="V94" s="681"/>
      <c r="W94" s="680">
        <v>2150</v>
      </c>
      <c r="X94" s="680"/>
      <c r="Y94" s="618"/>
      <c r="Z94" s="618"/>
      <c r="AA94" s="618"/>
      <c r="AB94" s="618"/>
      <c r="AC94" s="618"/>
      <c r="AD94" s="618"/>
      <c r="AE94" s="138"/>
    </row>
    <row r="95" spans="1:31" s="71" customFormat="1" ht="42" customHeight="1">
      <c r="A95" s="85"/>
      <c r="B95" s="679" t="s">
        <v>344</v>
      </c>
      <c r="C95" s="679"/>
      <c r="D95" s="679"/>
      <c r="E95" s="679"/>
      <c r="F95" s="679"/>
      <c r="G95" s="679"/>
      <c r="H95" s="679"/>
      <c r="I95" s="679"/>
      <c r="J95" s="679"/>
      <c r="K95" s="618"/>
      <c r="L95" s="618"/>
      <c r="M95" s="618"/>
      <c r="N95" s="680"/>
      <c r="O95" s="680"/>
      <c r="P95" s="680"/>
      <c r="Q95" s="618"/>
      <c r="R95" s="618"/>
      <c r="S95" s="618"/>
      <c r="T95" s="681">
        <f>W95+Y95+AA95+AC95</f>
        <v>100</v>
      </c>
      <c r="U95" s="681"/>
      <c r="V95" s="681"/>
      <c r="W95" s="680">
        <v>100</v>
      </c>
      <c r="X95" s="680"/>
      <c r="Y95" s="618"/>
      <c r="Z95" s="618"/>
      <c r="AA95" s="618"/>
      <c r="AB95" s="618"/>
      <c r="AC95" s="618"/>
      <c r="AD95" s="618"/>
      <c r="AE95" s="138"/>
    </row>
    <row r="96" spans="1:31" s="71" customFormat="1" ht="57" customHeight="1">
      <c r="A96" s="85"/>
      <c r="B96" s="679" t="s">
        <v>356</v>
      </c>
      <c r="C96" s="679"/>
      <c r="D96" s="679"/>
      <c r="E96" s="679"/>
      <c r="F96" s="679"/>
      <c r="G96" s="679"/>
      <c r="H96" s="679"/>
      <c r="I96" s="679"/>
      <c r="J96" s="679"/>
      <c r="K96" s="618"/>
      <c r="L96" s="618"/>
      <c r="M96" s="618"/>
      <c r="N96" s="680"/>
      <c r="O96" s="680"/>
      <c r="P96" s="680"/>
      <c r="Q96" s="618"/>
      <c r="R96" s="618"/>
      <c r="S96" s="618"/>
      <c r="T96" s="681">
        <f>W96+Y96+AA96+AC96</f>
        <v>3000</v>
      </c>
      <c r="U96" s="681"/>
      <c r="V96" s="681"/>
      <c r="W96" s="680"/>
      <c r="X96" s="680"/>
      <c r="Y96" s="618">
        <v>3000</v>
      </c>
      <c r="Z96" s="618"/>
      <c r="AA96" s="618"/>
      <c r="AB96" s="618"/>
      <c r="AC96" s="618"/>
      <c r="AD96" s="618"/>
      <c r="AE96" s="138"/>
    </row>
    <row r="97" spans="1:31" s="71" customFormat="1">
      <c r="A97" s="85"/>
      <c r="B97" s="679" t="s">
        <v>355</v>
      </c>
      <c r="C97" s="679"/>
      <c r="D97" s="679"/>
      <c r="E97" s="679"/>
      <c r="F97" s="679"/>
      <c r="G97" s="679"/>
      <c r="H97" s="679"/>
      <c r="I97" s="679"/>
      <c r="J97" s="679"/>
      <c r="K97" s="618"/>
      <c r="L97" s="618"/>
      <c r="M97" s="618"/>
      <c r="N97" s="680"/>
      <c r="O97" s="680"/>
      <c r="P97" s="680"/>
      <c r="Q97" s="618"/>
      <c r="R97" s="618"/>
      <c r="S97" s="618"/>
      <c r="T97" s="681">
        <f>W97+Y97+AA97+AC97</f>
        <v>1800</v>
      </c>
      <c r="U97" s="681"/>
      <c r="V97" s="681"/>
      <c r="W97" s="680"/>
      <c r="X97" s="680"/>
      <c r="Y97" s="618">
        <v>1800</v>
      </c>
      <c r="Z97" s="618"/>
      <c r="AA97" s="618"/>
      <c r="AB97" s="618"/>
      <c r="AC97" s="618"/>
      <c r="AD97" s="618"/>
      <c r="AE97" s="138"/>
    </row>
    <row r="98" spans="1:31" s="71" customFormat="1" ht="15" customHeight="1">
      <c r="A98" s="85"/>
      <c r="B98" s="679" t="s">
        <v>209</v>
      </c>
      <c r="C98" s="679"/>
      <c r="D98" s="679"/>
      <c r="E98" s="679"/>
      <c r="F98" s="679"/>
      <c r="G98" s="679"/>
      <c r="H98" s="679"/>
      <c r="I98" s="679"/>
      <c r="J98" s="679"/>
      <c r="K98" s="618">
        <v>5294.2</v>
      </c>
      <c r="L98" s="618"/>
      <c r="M98" s="618"/>
      <c r="N98" s="618"/>
      <c r="O98" s="618"/>
      <c r="P98" s="618"/>
      <c r="Q98" s="618"/>
      <c r="R98" s="618"/>
      <c r="S98" s="618"/>
      <c r="T98" s="618"/>
      <c r="U98" s="618"/>
      <c r="V98" s="618"/>
      <c r="W98" s="618"/>
      <c r="X98" s="618"/>
      <c r="Y98" s="618"/>
      <c r="Z98" s="618"/>
      <c r="AA98" s="618"/>
      <c r="AB98" s="618"/>
      <c r="AC98" s="618"/>
      <c r="AD98" s="618"/>
      <c r="AE98" s="138"/>
    </row>
    <row r="99" spans="1:31" s="71" customFormat="1" ht="15" customHeight="1">
      <c r="A99" s="85"/>
      <c r="B99" s="695" t="s">
        <v>203</v>
      </c>
      <c r="C99" s="695"/>
      <c r="D99" s="695"/>
      <c r="E99" s="695"/>
      <c r="F99" s="695"/>
      <c r="G99" s="695"/>
      <c r="H99" s="695"/>
      <c r="I99" s="695"/>
      <c r="J99" s="695"/>
      <c r="K99" s="632">
        <f>SUM(K100:M116)</f>
        <v>5380.2</v>
      </c>
      <c r="L99" s="632"/>
      <c r="M99" s="632"/>
      <c r="N99" s="632">
        <f>SUM(N100:P116)</f>
        <v>0</v>
      </c>
      <c r="O99" s="632"/>
      <c r="P99" s="632"/>
      <c r="Q99" s="618"/>
      <c r="R99" s="618"/>
      <c r="S99" s="618"/>
      <c r="T99" s="618"/>
      <c r="U99" s="618"/>
      <c r="V99" s="618"/>
      <c r="W99" s="618"/>
      <c r="X99" s="618"/>
      <c r="Y99" s="618"/>
      <c r="Z99" s="618"/>
      <c r="AA99" s="618"/>
      <c r="AB99" s="618"/>
      <c r="AC99" s="618"/>
      <c r="AD99" s="618"/>
      <c r="AE99" s="138"/>
    </row>
    <row r="100" spans="1:31" s="71" customFormat="1" ht="15" customHeight="1">
      <c r="A100" s="85"/>
      <c r="B100" s="679" t="s">
        <v>468</v>
      </c>
      <c r="C100" s="679"/>
      <c r="D100" s="679"/>
      <c r="E100" s="679"/>
      <c r="F100" s="679"/>
      <c r="G100" s="679"/>
      <c r="H100" s="679"/>
      <c r="I100" s="679"/>
      <c r="J100" s="679"/>
      <c r="K100" s="618">
        <v>156.4</v>
      </c>
      <c r="L100" s="618"/>
      <c r="M100" s="618"/>
      <c r="N100" s="618"/>
      <c r="O100" s="618"/>
      <c r="P100" s="618"/>
      <c r="Q100" s="618"/>
      <c r="R100" s="618"/>
      <c r="S100" s="618"/>
      <c r="T100" s="618"/>
      <c r="U100" s="618"/>
      <c r="V100" s="618"/>
      <c r="W100" s="618"/>
      <c r="X100" s="618"/>
      <c r="Y100" s="618"/>
      <c r="Z100" s="618"/>
      <c r="AA100" s="618"/>
      <c r="AB100" s="618"/>
      <c r="AC100" s="618"/>
      <c r="AD100" s="618"/>
      <c r="AE100" s="138"/>
    </row>
    <row r="101" spans="1:31" s="71" customFormat="1" ht="15" hidden="1" customHeight="1">
      <c r="A101" s="85"/>
      <c r="B101" s="679" t="s">
        <v>208</v>
      </c>
      <c r="C101" s="679"/>
      <c r="D101" s="679"/>
      <c r="E101" s="679"/>
      <c r="F101" s="679"/>
      <c r="G101" s="679"/>
      <c r="H101" s="679"/>
      <c r="I101" s="679"/>
      <c r="J101" s="679"/>
      <c r="K101" s="618"/>
      <c r="L101" s="618"/>
      <c r="M101" s="618"/>
      <c r="N101" s="618"/>
      <c r="O101" s="618"/>
      <c r="P101" s="618"/>
      <c r="Q101" s="618"/>
      <c r="R101" s="618"/>
      <c r="S101" s="618"/>
      <c r="T101" s="618"/>
      <c r="U101" s="618"/>
      <c r="V101" s="618"/>
      <c r="W101" s="618"/>
      <c r="X101" s="618"/>
      <c r="Y101" s="618"/>
      <c r="Z101" s="618"/>
      <c r="AA101" s="618"/>
      <c r="AB101" s="618"/>
      <c r="AC101" s="618"/>
      <c r="AD101" s="618"/>
      <c r="AE101" s="138"/>
    </row>
    <row r="102" spans="1:31" s="71" customFormat="1" ht="15" hidden="1" customHeight="1">
      <c r="A102" s="85"/>
      <c r="B102" s="679" t="s">
        <v>480</v>
      </c>
      <c r="C102" s="679"/>
      <c r="D102" s="679"/>
      <c r="E102" s="679"/>
      <c r="F102" s="679"/>
      <c r="G102" s="679"/>
      <c r="H102" s="679"/>
      <c r="I102" s="679"/>
      <c r="J102" s="679"/>
      <c r="K102" s="618"/>
      <c r="L102" s="618"/>
      <c r="M102" s="618"/>
      <c r="N102" s="618"/>
      <c r="O102" s="618"/>
      <c r="P102" s="618"/>
      <c r="Q102" s="618"/>
      <c r="R102" s="618"/>
      <c r="S102" s="618"/>
      <c r="T102" s="671"/>
      <c r="U102" s="671"/>
      <c r="V102" s="671"/>
      <c r="W102" s="680"/>
      <c r="X102" s="680"/>
      <c r="Y102" s="680"/>
      <c r="Z102" s="680"/>
      <c r="AA102" s="680"/>
      <c r="AB102" s="680"/>
      <c r="AC102" s="680"/>
      <c r="AD102" s="680"/>
      <c r="AE102" s="138"/>
    </row>
    <row r="103" spans="1:31" s="71" customFormat="1" ht="15" customHeight="1">
      <c r="A103" s="85"/>
      <c r="B103" s="679" t="s">
        <v>476</v>
      </c>
      <c r="C103" s="679"/>
      <c r="D103" s="679"/>
      <c r="E103" s="679"/>
      <c r="F103" s="679"/>
      <c r="G103" s="679"/>
      <c r="H103" s="679"/>
      <c r="I103" s="679"/>
      <c r="J103" s="679"/>
      <c r="K103" s="618">
        <v>3459.9</v>
      </c>
      <c r="L103" s="618"/>
      <c r="M103" s="618"/>
      <c r="N103" s="618"/>
      <c r="O103" s="618"/>
      <c r="P103" s="618"/>
      <c r="Q103" s="618"/>
      <c r="R103" s="618"/>
      <c r="S103" s="618"/>
      <c r="T103" s="671"/>
      <c r="U103" s="671"/>
      <c r="V103" s="671"/>
      <c r="W103" s="671"/>
      <c r="X103" s="671"/>
      <c r="Y103" s="671"/>
      <c r="Z103" s="671"/>
      <c r="AA103" s="671"/>
      <c r="AB103" s="671"/>
      <c r="AC103" s="671"/>
      <c r="AD103" s="671"/>
      <c r="AE103" s="138"/>
    </row>
    <row r="104" spans="1:31" s="71" customFormat="1" ht="36" customHeight="1">
      <c r="A104" s="85"/>
      <c r="B104" s="679" t="s">
        <v>477</v>
      </c>
      <c r="C104" s="679"/>
      <c r="D104" s="679"/>
      <c r="E104" s="679"/>
      <c r="F104" s="679"/>
      <c r="G104" s="679"/>
      <c r="H104" s="679"/>
      <c r="I104" s="679"/>
      <c r="J104" s="679"/>
      <c r="K104" s="618">
        <v>510</v>
      </c>
      <c r="L104" s="618"/>
      <c r="M104" s="618"/>
      <c r="N104" s="618"/>
      <c r="O104" s="618"/>
      <c r="P104" s="618"/>
      <c r="Q104" s="618"/>
      <c r="R104" s="618"/>
      <c r="S104" s="618"/>
      <c r="T104" s="671"/>
      <c r="U104" s="671"/>
      <c r="V104" s="671"/>
      <c r="W104" s="671"/>
      <c r="X104" s="671"/>
      <c r="Y104" s="671"/>
      <c r="Z104" s="671"/>
      <c r="AA104" s="671"/>
      <c r="AB104" s="671"/>
      <c r="AC104" s="671"/>
      <c r="AD104" s="671"/>
      <c r="AE104" s="138"/>
    </row>
    <row r="105" spans="1:31" s="71" customFormat="1" ht="57" hidden="1" customHeight="1">
      <c r="A105" s="85"/>
      <c r="B105" s="679" t="s">
        <v>478</v>
      </c>
      <c r="C105" s="679"/>
      <c r="D105" s="679"/>
      <c r="E105" s="679"/>
      <c r="F105" s="679"/>
      <c r="G105" s="679"/>
      <c r="H105" s="679"/>
      <c r="I105" s="679"/>
      <c r="J105" s="679"/>
      <c r="K105" s="618"/>
      <c r="L105" s="618"/>
      <c r="M105" s="618"/>
      <c r="N105" s="618"/>
      <c r="O105" s="618"/>
      <c r="P105" s="618"/>
      <c r="Q105" s="618"/>
      <c r="R105" s="618"/>
      <c r="S105" s="618"/>
      <c r="T105" s="671"/>
      <c r="U105" s="671"/>
      <c r="V105" s="671"/>
      <c r="W105" s="671"/>
      <c r="X105" s="671"/>
      <c r="Y105" s="671"/>
      <c r="Z105" s="671"/>
      <c r="AA105" s="671"/>
      <c r="AB105" s="671"/>
      <c r="AC105" s="671"/>
      <c r="AD105" s="671"/>
      <c r="AE105" s="138"/>
    </row>
    <row r="106" spans="1:31" s="71" customFormat="1" ht="15" customHeight="1">
      <c r="A106" s="85"/>
      <c r="B106" s="679" t="s">
        <v>479</v>
      </c>
      <c r="C106" s="679"/>
      <c r="D106" s="679"/>
      <c r="E106" s="679"/>
      <c r="F106" s="679"/>
      <c r="G106" s="679"/>
      <c r="H106" s="679"/>
      <c r="I106" s="679"/>
      <c r="J106" s="679"/>
      <c r="K106" s="618">
        <v>790</v>
      </c>
      <c r="L106" s="618"/>
      <c r="M106" s="618"/>
      <c r="N106" s="618"/>
      <c r="O106" s="618"/>
      <c r="P106" s="618"/>
      <c r="Q106" s="618"/>
      <c r="R106" s="618"/>
      <c r="S106" s="618"/>
      <c r="T106" s="671"/>
      <c r="U106" s="671"/>
      <c r="V106" s="671"/>
      <c r="W106" s="671"/>
      <c r="X106" s="671"/>
      <c r="Y106" s="671"/>
      <c r="Z106" s="671"/>
      <c r="AA106" s="671"/>
      <c r="AB106" s="671"/>
      <c r="AC106" s="671"/>
      <c r="AD106" s="671"/>
      <c r="AE106" s="138"/>
    </row>
    <row r="107" spans="1:31" s="71" customFormat="1" ht="15" hidden="1" customHeight="1">
      <c r="A107" s="85"/>
      <c r="B107" s="679" t="s">
        <v>454</v>
      </c>
      <c r="C107" s="679"/>
      <c r="D107" s="679"/>
      <c r="E107" s="679"/>
      <c r="F107" s="679"/>
      <c r="G107" s="679"/>
      <c r="H107" s="679"/>
      <c r="I107" s="679"/>
      <c r="J107" s="679"/>
      <c r="K107" s="618"/>
      <c r="L107" s="618"/>
      <c r="M107" s="618"/>
      <c r="N107" s="618"/>
      <c r="O107" s="618"/>
      <c r="P107" s="618"/>
      <c r="Q107" s="629"/>
      <c r="R107" s="629"/>
      <c r="S107" s="629"/>
      <c r="T107" s="671"/>
      <c r="U107" s="671"/>
      <c r="V107" s="671"/>
      <c r="W107" s="671"/>
      <c r="X107" s="671"/>
      <c r="Y107" s="671"/>
      <c r="Z107" s="671"/>
      <c r="AA107" s="671"/>
      <c r="AB107" s="671"/>
      <c r="AC107" s="671"/>
      <c r="AD107" s="671"/>
      <c r="AE107" s="138"/>
    </row>
    <row r="108" spans="1:31" s="71" customFormat="1" ht="15" hidden="1" customHeight="1">
      <c r="A108" s="85"/>
      <c r="B108" s="679" t="s">
        <v>455</v>
      </c>
      <c r="C108" s="679"/>
      <c r="D108" s="679"/>
      <c r="E108" s="679"/>
      <c r="F108" s="679"/>
      <c r="G108" s="679"/>
      <c r="H108" s="679"/>
      <c r="I108" s="679"/>
      <c r="J108" s="679"/>
      <c r="K108" s="618"/>
      <c r="L108" s="618"/>
      <c r="M108" s="618"/>
      <c r="N108" s="618"/>
      <c r="O108" s="618"/>
      <c r="P108" s="618"/>
      <c r="Q108" s="629"/>
      <c r="R108" s="629"/>
      <c r="S108" s="629"/>
      <c r="T108" s="671"/>
      <c r="U108" s="671"/>
      <c r="V108" s="671"/>
      <c r="W108" s="671"/>
      <c r="X108" s="671"/>
      <c r="Y108" s="671"/>
      <c r="Z108" s="671"/>
      <c r="AA108" s="671"/>
      <c r="AB108" s="671"/>
      <c r="AC108" s="671"/>
      <c r="AD108" s="671"/>
      <c r="AE108" s="138"/>
    </row>
    <row r="109" spans="1:31" s="71" customFormat="1" ht="15" customHeight="1">
      <c r="A109" s="85"/>
      <c r="B109" s="679" t="s">
        <v>456</v>
      </c>
      <c r="C109" s="679"/>
      <c r="D109" s="679"/>
      <c r="E109" s="679"/>
      <c r="F109" s="679"/>
      <c r="G109" s="679"/>
      <c r="H109" s="679"/>
      <c r="I109" s="679"/>
      <c r="J109" s="679"/>
      <c r="K109" s="618">
        <v>463.9</v>
      </c>
      <c r="L109" s="618"/>
      <c r="M109" s="618"/>
      <c r="N109" s="618"/>
      <c r="O109" s="618"/>
      <c r="P109" s="618"/>
      <c r="Q109" s="629"/>
      <c r="R109" s="629"/>
      <c r="S109" s="629"/>
      <c r="T109" s="671"/>
      <c r="U109" s="671"/>
      <c r="V109" s="671"/>
      <c r="W109" s="671"/>
      <c r="X109" s="671"/>
      <c r="Y109" s="671"/>
      <c r="Z109" s="671"/>
      <c r="AA109" s="671"/>
      <c r="AB109" s="671"/>
      <c r="AC109" s="671"/>
      <c r="AD109" s="671"/>
      <c r="AE109" s="138"/>
    </row>
    <row r="110" spans="1:31" s="71" customFormat="1" ht="15" hidden="1" customHeight="1">
      <c r="A110" s="85"/>
      <c r="B110" s="679" t="s">
        <v>457</v>
      </c>
      <c r="C110" s="679"/>
      <c r="D110" s="679"/>
      <c r="E110" s="679"/>
      <c r="F110" s="679"/>
      <c r="G110" s="679"/>
      <c r="H110" s="679"/>
      <c r="I110" s="679"/>
      <c r="J110" s="679"/>
      <c r="K110" s="618"/>
      <c r="L110" s="618"/>
      <c r="M110" s="618"/>
      <c r="N110" s="618"/>
      <c r="O110" s="618"/>
      <c r="P110" s="618"/>
      <c r="Q110" s="629"/>
      <c r="R110" s="629"/>
      <c r="S110" s="629"/>
      <c r="T110" s="671"/>
      <c r="U110" s="671"/>
      <c r="V110" s="671"/>
      <c r="W110" s="671"/>
      <c r="X110" s="671"/>
      <c r="Y110" s="671"/>
      <c r="Z110" s="671"/>
      <c r="AA110" s="671"/>
      <c r="AB110" s="671"/>
      <c r="AC110" s="671"/>
      <c r="AD110" s="671"/>
      <c r="AE110" s="138"/>
    </row>
    <row r="111" spans="1:31" s="71" customFormat="1" ht="15" hidden="1" customHeight="1">
      <c r="A111" s="85"/>
      <c r="B111" s="679" t="s">
        <v>458</v>
      </c>
      <c r="C111" s="679"/>
      <c r="D111" s="679"/>
      <c r="E111" s="679"/>
      <c r="F111" s="679"/>
      <c r="G111" s="679"/>
      <c r="H111" s="679"/>
      <c r="I111" s="679"/>
      <c r="J111" s="679"/>
      <c r="K111" s="618"/>
      <c r="L111" s="618"/>
      <c r="M111" s="618"/>
      <c r="N111" s="618"/>
      <c r="O111" s="618"/>
      <c r="P111" s="618"/>
      <c r="Q111" s="629"/>
      <c r="R111" s="629"/>
      <c r="S111" s="629"/>
      <c r="T111" s="671"/>
      <c r="U111" s="671"/>
      <c r="V111" s="671"/>
      <c r="W111" s="671"/>
      <c r="X111" s="671"/>
      <c r="Y111" s="671"/>
      <c r="Z111" s="671"/>
      <c r="AA111" s="671"/>
      <c r="AB111" s="671"/>
      <c r="AC111" s="671"/>
      <c r="AD111" s="671"/>
      <c r="AE111" s="138"/>
    </row>
    <row r="112" spans="1:31" s="71" customFormat="1" ht="15" hidden="1" customHeight="1">
      <c r="A112" s="85"/>
      <c r="B112" s="679" t="s">
        <v>459</v>
      </c>
      <c r="C112" s="679"/>
      <c r="D112" s="679"/>
      <c r="E112" s="679"/>
      <c r="F112" s="679"/>
      <c r="G112" s="679"/>
      <c r="H112" s="679"/>
      <c r="I112" s="679"/>
      <c r="J112" s="679"/>
      <c r="K112" s="618"/>
      <c r="L112" s="618"/>
      <c r="M112" s="618"/>
      <c r="N112" s="618"/>
      <c r="O112" s="618"/>
      <c r="P112" s="618"/>
      <c r="Q112" s="629"/>
      <c r="R112" s="629"/>
      <c r="S112" s="629"/>
      <c r="T112" s="671"/>
      <c r="U112" s="671"/>
      <c r="V112" s="671"/>
      <c r="W112" s="671"/>
      <c r="X112" s="671"/>
      <c r="Y112" s="671"/>
      <c r="Z112" s="671"/>
      <c r="AA112" s="671"/>
      <c r="AB112" s="671"/>
      <c r="AC112" s="671"/>
      <c r="AD112" s="671"/>
      <c r="AE112" s="138"/>
    </row>
    <row r="113" spans="1:31" s="71" customFormat="1" ht="35.25" hidden="1" customHeight="1">
      <c r="A113" s="85"/>
      <c r="B113" s="679" t="s">
        <v>465</v>
      </c>
      <c r="C113" s="679"/>
      <c r="D113" s="679"/>
      <c r="E113" s="679"/>
      <c r="F113" s="679"/>
      <c r="G113" s="679"/>
      <c r="H113" s="679"/>
      <c r="I113" s="679"/>
      <c r="J113" s="679"/>
      <c r="K113" s="620"/>
      <c r="L113" s="705"/>
      <c r="M113" s="621"/>
      <c r="N113" s="618"/>
      <c r="O113" s="618"/>
      <c r="P113" s="618"/>
      <c r="Q113" s="629"/>
      <c r="R113" s="629"/>
      <c r="S113" s="629"/>
      <c r="T113" s="671"/>
      <c r="U113" s="671"/>
      <c r="V113" s="671"/>
      <c r="W113" s="671"/>
      <c r="X113" s="671"/>
      <c r="Y113" s="671"/>
      <c r="Z113" s="671"/>
      <c r="AA113" s="671"/>
      <c r="AB113" s="671"/>
      <c r="AC113" s="671"/>
      <c r="AD113" s="671"/>
      <c r="AE113" s="138"/>
    </row>
    <row r="114" spans="1:31" s="71" customFormat="1" ht="15" hidden="1" customHeight="1">
      <c r="A114" s="85"/>
      <c r="B114" s="679" t="s">
        <v>466</v>
      </c>
      <c r="C114" s="679"/>
      <c r="D114" s="679"/>
      <c r="E114" s="679"/>
      <c r="F114" s="679"/>
      <c r="G114" s="679"/>
      <c r="H114" s="679"/>
      <c r="I114" s="679"/>
      <c r="J114" s="679"/>
      <c r="K114" s="620"/>
      <c r="L114" s="705"/>
      <c r="M114" s="621"/>
      <c r="N114" s="618"/>
      <c r="O114" s="618"/>
      <c r="P114" s="618"/>
      <c r="Q114" s="629"/>
      <c r="R114" s="629"/>
      <c r="S114" s="629"/>
      <c r="T114" s="671"/>
      <c r="U114" s="671"/>
      <c r="V114" s="671"/>
      <c r="W114" s="671"/>
      <c r="X114" s="671"/>
      <c r="Y114" s="671"/>
      <c r="Z114" s="671"/>
      <c r="AA114" s="671"/>
      <c r="AB114" s="671"/>
      <c r="AC114" s="671"/>
      <c r="AD114" s="671"/>
      <c r="AE114" s="138"/>
    </row>
    <row r="115" spans="1:31" s="71" customFormat="1" ht="15" hidden="1" customHeight="1">
      <c r="A115" s="85"/>
      <c r="B115" s="679" t="s">
        <v>467</v>
      </c>
      <c r="C115" s="679"/>
      <c r="D115" s="679"/>
      <c r="E115" s="679"/>
      <c r="F115" s="679"/>
      <c r="G115" s="679"/>
      <c r="H115" s="679"/>
      <c r="I115" s="679"/>
      <c r="J115" s="679"/>
      <c r="K115" s="620"/>
      <c r="L115" s="705"/>
      <c r="M115" s="621"/>
      <c r="N115" s="618"/>
      <c r="O115" s="618"/>
      <c r="P115" s="618"/>
      <c r="Q115" s="629"/>
      <c r="R115" s="629"/>
      <c r="S115" s="629"/>
      <c r="T115" s="671"/>
      <c r="U115" s="671"/>
      <c r="V115" s="671"/>
      <c r="W115" s="671"/>
      <c r="X115" s="671"/>
      <c r="Y115" s="671"/>
      <c r="Z115" s="671"/>
      <c r="AA115" s="671"/>
      <c r="AB115" s="671"/>
      <c r="AC115" s="671"/>
      <c r="AD115" s="671"/>
      <c r="AE115" s="138"/>
    </row>
    <row r="116" spans="1:31" s="71" customFormat="1" ht="15" hidden="1" customHeight="1">
      <c r="A116" s="85"/>
      <c r="B116" s="679" t="s">
        <v>198</v>
      </c>
      <c r="C116" s="679"/>
      <c r="D116" s="679"/>
      <c r="E116" s="679"/>
      <c r="F116" s="679"/>
      <c r="G116" s="679"/>
      <c r="H116" s="679"/>
      <c r="I116" s="679"/>
      <c r="J116" s="679"/>
      <c r="K116" s="620"/>
      <c r="L116" s="705"/>
      <c r="M116" s="621"/>
      <c r="N116" s="618"/>
      <c r="O116" s="618"/>
      <c r="P116" s="618"/>
      <c r="Q116" s="629"/>
      <c r="R116" s="629"/>
      <c r="S116" s="629"/>
      <c r="T116" s="671"/>
      <c r="U116" s="671"/>
      <c r="V116" s="671"/>
      <c r="W116" s="671"/>
      <c r="X116" s="671"/>
      <c r="Y116" s="671"/>
      <c r="Z116" s="671"/>
      <c r="AA116" s="671"/>
      <c r="AB116" s="671"/>
      <c r="AC116" s="671"/>
      <c r="AD116" s="671"/>
      <c r="AE116" s="138"/>
    </row>
    <row r="117" spans="1:31" s="71" customFormat="1" ht="17.25" customHeight="1">
      <c r="A117" s="85"/>
      <c r="B117" s="695" t="s">
        <v>251</v>
      </c>
      <c r="C117" s="695"/>
      <c r="D117" s="695"/>
      <c r="E117" s="695"/>
      <c r="F117" s="695"/>
      <c r="G117" s="695"/>
      <c r="H117" s="695"/>
      <c r="I117" s="695"/>
      <c r="J117" s="695"/>
      <c r="K117" s="696"/>
      <c r="L117" s="697"/>
      <c r="M117" s="698"/>
      <c r="N117" s="699">
        <f>SUM(N118:P119)</f>
        <v>1667.2</v>
      </c>
      <c r="O117" s="700"/>
      <c r="P117" s="701"/>
      <c r="Q117" s="699">
        <f>SUM(Q118:S119)</f>
        <v>987.2</v>
      </c>
      <c r="R117" s="700"/>
      <c r="S117" s="701"/>
      <c r="T117" s="699">
        <f>SUM(T118:V119)</f>
        <v>0</v>
      </c>
      <c r="U117" s="700"/>
      <c r="V117" s="701"/>
      <c r="W117" s="688">
        <v>0</v>
      </c>
      <c r="X117" s="688"/>
      <c r="Y117" s="688">
        <v>0</v>
      </c>
      <c r="Z117" s="688"/>
      <c r="AA117" s="688">
        <v>0</v>
      </c>
      <c r="AB117" s="688"/>
      <c r="AC117" s="688">
        <v>0</v>
      </c>
      <c r="AD117" s="688"/>
      <c r="AE117" s="138"/>
    </row>
    <row r="118" spans="1:31" s="71" customFormat="1" ht="15" customHeight="1">
      <c r="A118" s="85"/>
      <c r="B118" s="689" t="s">
        <v>239</v>
      </c>
      <c r="C118" s="690"/>
      <c r="D118" s="690"/>
      <c r="E118" s="690"/>
      <c r="F118" s="690"/>
      <c r="G118" s="690"/>
      <c r="H118" s="690"/>
      <c r="I118" s="690"/>
      <c r="J118" s="691"/>
      <c r="K118" s="625"/>
      <c r="L118" s="673"/>
      <c r="M118" s="626"/>
      <c r="N118" s="692">
        <v>987.2</v>
      </c>
      <c r="O118" s="693"/>
      <c r="P118" s="694"/>
      <c r="Q118" s="629">
        <v>987.2</v>
      </c>
      <c r="R118" s="629"/>
      <c r="S118" s="629"/>
      <c r="T118" s="688">
        <f>W118+Y118+AA118+AC118</f>
        <v>0</v>
      </c>
      <c r="U118" s="688"/>
      <c r="V118" s="688"/>
      <c r="W118" s="685"/>
      <c r="X118" s="685"/>
      <c r="Y118" s="685"/>
      <c r="Z118" s="685"/>
      <c r="AA118" s="685"/>
      <c r="AB118" s="685"/>
      <c r="AC118" s="685"/>
      <c r="AD118" s="685"/>
      <c r="AE118" s="138"/>
    </row>
    <row r="119" spans="1:31" s="71" customFormat="1" ht="33.75" customHeight="1">
      <c r="A119" s="85"/>
      <c r="B119" s="689" t="s">
        <v>241</v>
      </c>
      <c r="C119" s="690"/>
      <c r="D119" s="690"/>
      <c r="E119" s="690"/>
      <c r="F119" s="690"/>
      <c r="G119" s="690"/>
      <c r="H119" s="690"/>
      <c r="I119" s="690"/>
      <c r="J119" s="691"/>
      <c r="K119" s="625"/>
      <c r="L119" s="673"/>
      <c r="M119" s="626"/>
      <c r="N119" s="692">
        <v>680</v>
      </c>
      <c r="O119" s="693"/>
      <c r="P119" s="694"/>
      <c r="Q119" s="629"/>
      <c r="R119" s="629"/>
      <c r="S119" s="629"/>
      <c r="T119" s="688">
        <f>W119+Y119+AA119+AC119</f>
        <v>0</v>
      </c>
      <c r="U119" s="688"/>
      <c r="V119" s="688"/>
      <c r="W119" s="685"/>
      <c r="X119" s="685"/>
      <c r="Y119" s="685"/>
      <c r="Z119" s="685"/>
      <c r="AA119" s="685"/>
      <c r="AB119" s="685"/>
      <c r="AC119" s="685"/>
      <c r="AD119" s="685"/>
      <c r="AE119" s="138"/>
    </row>
    <row r="120" spans="1:31" s="71" customFormat="1" ht="15" customHeight="1">
      <c r="A120" s="85"/>
      <c r="B120" s="679"/>
      <c r="C120" s="679"/>
      <c r="D120" s="679"/>
      <c r="E120" s="679"/>
      <c r="F120" s="679"/>
      <c r="G120" s="679"/>
      <c r="H120" s="679"/>
      <c r="I120" s="679"/>
      <c r="J120" s="679"/>
      <c r="K120" s="618"/>
      <c r="L120" s="618"/>
      <c r="M120" s="618"/>
      <c r="N120" s="618"/>
      <c r="O120" s="618"/>
      <c r="P120" s="618"/>
      <c r="Q120" s="629"/>
      <c r="R120" s="629"/>
      <c r="S120" s="629"/>
      <c r="T120" s="688"/>
      <c r="U120" s="688"/>
      <c r="V120" s="688"/>
      <c r="W120" s="685"/>
      <c r="X120" s="685"/>
      <c r="Y120" s="685"/>
      <c r="Z120" s="685"/>
      <c r="AA120" s="685"/>
      <c r="AB120" s="685"/>
      <c r="AC120" s="685"/>
      <c r="AD120" s="685"/>
      <c r="AE120" s="138"/>
    </row>
    <row r="121" spans="1:31" s="71" customFormat="1" ht="15" hidden="1" customHeight="1">
      <c r="A121" s="85"/>
      <c r="B121" s="689"/>
      <c r="C121" s="690"/>
      <c r="D121" s="690"/>
      <c r="E121" s="690"/>
      <c r="F121" s="690"/>
      <c r="G121" s="690"/>
      <c r="H121" s="690"/>
      <c r="I121" s="690"/>
      <c r="J121" s="691"/>
      <c r="K121" s="342"/>
      <c r="L121" s="345"/>
      <c r="M121" s="277"/>
      <c r="N121" s="342"/>
      <c r="O121" s="345"/>
      <c r="P121" s="277"/>
      <c r="Q121" s="618"/>
      <c r="R121" s="618"/>
      <c r="S121" s="618"/>
      <c r="T121" s="680"/>
      <c r="U121" s="680"/>
      <c r="V121" s="680"/>
      <c r="W121" s="680"/>
      <c r="X121" s="680"/>
      <c r="Y121" s="680"/>
      <c r="Z121" s="680"/>
      <c r="AA121" s="680"/>
      <c r="AB121" s="680"/>
      <c r="AC121" s="680"/>
      <c r="AD121" s="680"/>
      <c r="AE121" s="138"/>
    </row>
    <row r="122" spans="1:31" s="71" customFormat="1" ht="15" customHeight="1">
      <c r="A122" s="85"/>
      <c r="B122" s="707" t="s">
        <v>974</v>
      </c>
      <c r="C122" s="707"/>
      <c r="D122" s="707"/>
      <c r="E122" s="707"/>
      <c r="F122" s="707"/>
      <c r="G122" s="707"/>
      <c r="H122" s="707"/>
      <c r="I122" s="707"/>
      <c r="J122" s="707"/>
      <c r="K122" s="632">
        <f>K125+K147+K165+K123+K124</f>
        <v>25398.6</v>
      </c>
      <c r="L122" s="632"/>
      <c r="M122" s="632"/>
      <c r="N122" s="632">
        <f>N125+N147+N165+N123+N124</f>
        <v>13021.5</v>
      </c>
      <c r="O122" s="632"/>
      <c r="P122" s="632"/>
      <c r="Q122" s="632">
        <f>Q125+Q147+Q165+Q123+Q124</f>
        <v>15341.480000000001</v>
      </c>
      <c r="R122" s="632"/>
      <c r="S122" s="632"/>
      <c r="T122" s="632">
        <f>T125+T165+T123</f>
        <v>34903</v>
      </c>
      <c r="U122" s="632"/>
      <c r="V122" s="632"/>
      <c r="W122" s="681">
        <f>W125+W165+W123</f>
        <v>11250</v>
      </c>
      <c r="X122" s="681"/>
      <c r="Y122" s="681">
        <f>Y125+Y165+Y123</f>
        <v>14187.3</v>
      </c>
      <c r="Z122" s="681"/>
      <c r="AA122" s="681">
        <f>AA125+AA165+AA123</f>
        <v>9446.7000000000007</v>
      </c>
      <c r="AB122" s="681"/>
      <c r="AC122" s="681">
        <f>AC125+AC165+AC123</f>
        <v>19</v>
      </c>
      <c r="AD122" s="681"/>
      <c r="AE122" s="138"/>
    </row>
    <row r="123" spans="1:31" s="71" customFormat="1" ht="18" customHeight="1">
      <c r="A123" s="85"/>
      <c r="B123" s="689" t="s">
        <v>660</v>
      </c>
      <c r="C123" s="690"/>
      <c r="D123" s="690"/>
      <c r="E123" s="690"/>
      <c r="F123" s="690"/>
      <c r="G123" s="690"/>
      <c r="H123" s="690"/>
      <c r="I123" s="690"/>
      <c r="J123" s="691"/>
      <c r="K123" s="620">
        <f>K75</f>
        <v>531.29999999999995</v>
      </c>
      <c r="L123" s="705"/>
      <c r="M123" s="621"/>
      <c r="N123" s="620">
        <f>N75</f>
        <v>737.3</v>
      </c>
      <c r="O123" s="705"/>
      <c r="P123" s="621"/>
      <c r="Q123" s="620">
        <f>Q75</f>
        <v>737.28</v>
      </c>
      <c r="R123" s="705"/>
      <c r="S123" s="621"/>
      <c r="T123" s="708">
        <f>T75</f>
        <v>853</v>
      </c>
      <c r="U123" s="709"/>
      <c r="V123" s="710"/>
      <c r="W123" s="671"/>
      <c r="X123" s="671"/>
      <c r="Y123" s="686">
        <f>Y75</f>
        <v>387.3</v>
      </c>
      <c r="Z123" s="687"/>
      <c r="AA123" s="686">
        <f>AA75</f>
        <v>446.7</v>
      </c>
      <c r="AB123" s="687"/>
      <c r="AC123" s="686">
        <f>AC75</f>
        <v>19</v>
      </c>
      <c r="AD123" s="687"/>
      <c r="AE123" s="138"/>
    </row>
    <row r="124" spans="1:31" s="71" customFormat="1" ht="33" customHeight="1">
      <c r="A124" s="85"/>
      <c r="B124" s="702" t="s">
        <v>234</v>
      </c>
      <c r="C124" s="703"/>
      <c r="D124" s="703"/>
      <c r="E124" s="703"/>
      <c r="F124" s="703"/>
      <c r="G124" s="703"/>
      <c r="H124" s="703"/>
      <c r="I124" s="703"/>
      <c r="J124" s="704"/>
      <c r="K124" s="618"/>
      <c r="L124" s="618"/>
      <c r="M124" s="618"/>
      <c r="N124" s="618">
        <f>N76</f>
        <v>1495</v>
      </c>
      <c r="O124" s="618"/>
      <c r="P124" s="618"/>
      <c r="Q124" s="618">
        <f>Q76</f>
        <v>1495</v>
      </c>
      <c r="R124" s="618"/>
      <c r="S124" s="618"/>
      <c r="T124" s="681">
        <f>W124+Y124+AA124+AC124</f>
        <v>0</v>
      </c>
      <c r="U124" s="681"/>
      <c r="V124" s="681"/>
      <c r="W124" s="671"/>
      <c r="X124" s="671"/>
      <c r="Y124" s="686"/>
      <c r="Z124" s="687"/>
      <c r="AA124" s="671"/>
      <c r="AB124" s="671"/>
      <c r="AC124" s="671"/>
      <c r="AD124" s="671"/>
      <c r="AE124" s="138"/>
    </row>
    <row r="125" spans="1:31" s="71" customFormat="1" ht="15" customHeight="1">
      <c r="A125" s="85"/>
      <c r="B125" s="695" t="s">
        <v>202</v>
      </c>
      <c r="C125" s="707"/>
      <c r="D125" s="707"/>
      <c r="E125" s="707"/>
      <c r="F125" s="707"/>
      <c r="G125" s="707"/>
      <c r="H125" s="707"/>
      <c r="I125" s="707"/>
      <c r="J125" s="707"/>
      <c r="K125" s="632">
        <f>SUM(K126:M146)</f>
        <v>19487.099999999999</v>
      </c>
      <c r="L125" s="632"/>
      <c r="M125" s="632"/>
      <c r="N125" s="632">
        <f>SUM(N126:P146)</f>
        <v>9122</v>
      </c>
      <c r="O125" s="632"/>
      <c r="P125" s="632"/>
      <c r="Q125" s="632">
        <f>SUM(Q126:S146)</f>
        <v>12122</v>
      </c>
      <c r="R125" s="632"/>
      <c r="S125" s="632"/>
      <c r="T125" s="632">
        <f>SUM(T126:V146)</f>
        <v>34050</v>
      </c>
      <c r="U125" s="632"/>
      <c r="V125" s="632"/>
      <c r="W125" s="632">
        <f>SUM(W126:X146)</f>
        <v>11250</v>
      </c>
      <c r="X125" s="632"/>
      <c r="Y125" s="632">
        <f>SUM(Y126:Z146)</f>
        <v>13800</v>
      </c>
      <c r="Z125" s="632"/>
      <c r="AA125" s="632">
        <f>SUM(AA126:AB146)</f>
        <v>9000</v>
      </c>
      <c r="AB125" s="632"/>
      <c r="AC125" s="618">
        <f>SUM(AC126:AD146)</f>
        <v>0</v>
      </c>
      <c r="AD125" s="618"/>
      <c r="AE125" s="138"/>
    </row>
    <row r="126" spans="1:31" s="71" customFormat="1" ht="15" customHeight="1">
      <c r="A126" s="85"/>
      <c r="B126" s="679" t="s">
        <v>460</v>
      </c>
      <c r="C126" s="679"/>
      <c r="D126" s="679"/>
      <c r="E126" s="679"/>
      <c r="F126" s="679"/>
      <c r="G126" s="679"/>
      <c r="H126" s="679"/>
      <c r="I126" s="679"/>
      <c r="J126" s="679"/>
      <c r="K126" s="618">
        <v>1500</v>
      </c>
      <c r="L126" s="618"/>
      <c r="M126" s="618"/>
      <c r="N126" s="618"/>
      <c r="O126" s="618"/>
      <c r="P126" s="618"/>
      <c r="Q126" s="618"/>
      <c r="R126" s="618"/>
      <c r="S126" s="618"/>
      <c r="T126" s="671"/>
      <c r="U126" s="671"/>
      <c r="V126" s="671"/>
      <c r="W126" s="671"/>
      <c r="X126" s="671"/>
      <c r="Y126" s="671"/>
      <c r="Z126" s="671"/>
      <c r="AA126" s="671"/>
      <c r="AB126" s="671"/>
      <c r="AC126" s="671"/>
      <c r="AD126" s="671"/>
      <c r="AE126" s="138"/>
    </row>
    <row r="127" spans="1:31" s="71" customFormat="1" ht="15" hidden="1" customHeight="1">
      <c r="A127" s="85"/>
      <c r="B127" s="679" t="s">
        <v>206</v>
      </c>
      <c r="C127" s="679"/>
      <c r="D127" s="679"/>
      <c r="E127" s="679"/>
      <c r="F127" s="679"/>
      <c r="G127" s="679"/>
      <c r="H127" s="679"/>
      <c r="I127" s="679"/>
      <c r="J127" s="679"/>
      <c r="K127" s="618"/>
      <c r="L127" s="618"/>
      <c r="M127" s="618"/>
      <c r="N127" s="618"/>
      <c r="O127" s="618"/>
      <c r="P127" s="618"/>
      <c r="Q127" s="629"/>
      <c r="R127" s="629"/>
      <c r="S127" s="629"/>
      <c r="T127" s="671"/>
      <c r="U127" s="671"/>
      <c r="V127" s="671"/>
      <c r="W127" s="671"/>
      <c r="X127" s="671"/>
      <c r="Y127" s="671"/>
      <c r="Z127" s="671"/>
      <c r="AA127" s="671"/>
      <c r="AB127" s="671"/>
      <c r="AC127" s="671"/>
      <c r="AD127" s="671"/>
      <c r="AE127" s="138"/>
    </row>
    <row r="128" spans="1:31" s="71" customFormat="1" ht="15" hidden="1" customHeight="1">
      <c r="A128" s="85"/>
      <c r="B128" s="679" t="s">
        <v>207</v>
      </c>
      <c r="C128" s="679"/>
      <c r="D128" s="679"/>
      <c r="E128" s="679"/>
      <c r="F128" s="679"/>
      <c r="G128" s="679"/>
      <c r="H128" s="679"/>
      <c r="I128" s="679"/>
      <c r="J128" s="679"/>
      <c r="K128" s="618"/>
      <c r="L128" s="618"/>
      <c r="M128" s="618"/>
      <c r="N128" s="618"/>
      <c r="O128" s="618"/>
      <c r="P128" s="618"/>
      <c r="Q128" s="629"/>
      <c r="R128" s="629"/>
      <c r="S128" s="629"/>
      <c r="T128" s="671"/>
      <c r="U128" s="671"/>
      <c r="V128" s="671"/>
      <c r="W128" s="671"/>
      <c r="X128" s="671"/>
      <c r="Y128" s="671"/>
      <c r="Z128" s="671"/>
      <c r="AA128" s="671"/>
      <c r="AB128" s="671"/>
      <c r="AC128" s="671"/>
      <c r="AD128" s="671"/>
      <c r="AE128" s="138"/>
    </row>
    <row r="129" spans="1:31" s="71" customFormat="1" ht="37.5" hidden="1" customHeight="1">
      <c r="A129" s="85"/>
      <c r="B129" s="679" t="s">
        <v>210</v>
      </c>
      <c r="C129" s="679"/>
      <c r="D129" s="679"/>
      <c r="E129" s="679"/>
      <c r="F129" s="679"/>
      <c r="G129" s="679"/>
      <c r="H129" s="679"/>
      <c r="I129" s="679"/>
      <c r="J129" s="679"/>
      <c r="K129" s="618"/>
      <c r="L129" s="618"/>
      <c r="M129" s="618"/>
      <c r="N129" s="618"/>
      <c r="O129" s="618"/>
      <c r="P129" s="618"/>
      <c r="Q129" s="629"/>
      <c r="R129" s="629"/>
      <c r="S129" s="629"/>
      <c r="T129" s="671"/>
      <c r="U129" s="671"/>
      <c r="V129" s="671"/>
      <c r="W129" s="671"/>
      <c r="X129" s="671"/>
      <c r="Y129" s="671"/>
      <c r="Z129" s="671"/>
      <c r="AA129" s="671"/>
      <c r="AB129" s="671"/>
      <c r="AC129" s="671"/>
      <c r="AD129" s="671"/>
      <c r="AE129" s="138"/>
    </row>
    <row r="130" spans="1:31" s="71" customFormat="1" ht="15" customHeight="1">
      <c r="A130" s="85"/>
      <c r="B130" s="679" t="s">
        <v>204</v>
      </c>
      <c r="C130" s="679"/>
      <c r="D130" s="679"/>
      <c r="E130" s="679"/>
      <c r="F130" s="679"/>
      <c r="G130" s="679"/>
      <c r="H130" s="679"/>
      <c r="I130" s="679"/>
      <c r="J130" s="679"/>
      <c r="K130" s="618">
        <v>1612.7</v>
      </c>
      <c r="L130" s="618"/>
      <c r="M130" s="618"/>
      <c r="N130" s="618"/>
      <c r="O130" s="618"/>
      <c r="P130" s="618"/>
      <c r="Q130" s="618"/>
      <c r="R130" s="618"/>
      <c r="S130" s="618"/>
      <c r="T130" s="671"/>
      <c r="U130" s="671"/>
      <c r="V130" s="671"/>
      <c r="W130" s="671"/>
      <c r="X130" s="671"/>
      <c r="Y130" s="671"/>
      <c r="Z130" s="671"/>
      <c r="AA130" s="671"/>
      <c r="AB130" s="671"/>
      <c r="AC130" s="671"/>
      <c r="AD130" s="671"/>
      <c r="AE130" s="138"/>
    </row>
    <row r="131" spans="1:31" s="71" customFormat="1" ht="15" hidden="1" customHeight="1">
      <c r="A131" s="85"/>
      <c r="B131" s="679" t="s">
        <v>461</v>
      </c>
      <c r="C131" s="679"/>
      <c r="D131" s="679"/>
      <c r="E131" s="679"/>
      <c r="F131" s="679"/>
      <c r="G131" s="679"/>
      <c r="H131" s="679"/>
      <c r="I131" s="679"/>
      <c r="J131" s="679"/>
      <c r="K131" s="618"/>
      <c r="L131" s="618"/>
      <c r="M131" s="618"/>
      <c r="N131" s="618"/>
      <c r="O131" s="618"/>
      <c r="P131" s="618"/>
      <c r="Q131" s="629"/>
      <c r="R131" s="629"/>
      <c r="S131" s="629"/>
      <c r="T131" s="671"/>
      <c r="U131" s="671"/>
      <c r="V131" s="671"/>
      <c r="W131" s="671"/>
      <c r="X131" s="671"/>
      <c r="Y131" s="671"/>
      <c r="Z131" s="671"/>
      <c r="AA131" s="671"/>
      <c r="AB131" s="671"/>
      <c r="AC131" s="671"/>
      <c r="AD131" s="671"/>
      <c r="AE131" s="138"/>
    </row>
    <row r="132" spans="1:31" s="71" customFormat="1" ht="15" hidden="1" customHeight="1">
      <c r="A132" s="85"/>
      <c r="B132" s="679" t="s">
        <v>464</v>
      </c>
      <c r="C132" s="679"/>
      <c r="D132" s="679"/>
      <c r="E132" s="679"/>
      <c r="F132" s="679"/>
      <c r="G132" s="679"/>
      <c r="H132" s="679"/>
      <c r="I132" s="679"/>
      <c r="J132" s="679"/>
      <c r="K132" s="618"/>
      <c r="L132" s="618"/>
      <c r="M132" s="618"/>
      <c r="N132" s="618"/>
      <c r="O132" s="618"/>
      <c r="P132" s="618"/>
      <c r="Q132" s="629"/>
      <c r="R132" s="629"/>
      <c r="S132" s="629"/>
      <c r="T132" s="671"/>
      <c r="U132" s="671"/>
      <c r="V132" s="671"/>
      <c r="W132" s="671"/>
      <c r="X132" s="671"/>
      <c r="Y132" s="671"/>
      <c r="Z132" s="671"/>
      <c r="AA132" s="671"/>
      <c r="AB132" s="671"/>
      <c r="AC132" s="671"/>
      <c r="AD132" s="671"/>
      <c r="AE132" s="138"/>
    </row>
    <row r="133" spans="1:31" s="71" customFormat="1" ht="15" customHeight="1">
      <c r="A133" s="85"/>
      <c r="B133" s="679" t="s">
        <v>453</v>
      </c>
      <c r="C133" s="679"/>
      <c r="D133" s="679"/>
      <c r="E133" s="679"/>
      <c r="F133" s="679"/>
      <c r="G133" s="679"/>
      <c r="H133" s="679"/>
      <c r="I133" s="679"/>
      <c r="J133" s="679"/>
      <c r="K133" s="618">
        <v>3000</v>
      </c>
      <c r="L133" s="618"/>
      <c r="M133" s="618"/>
      <c r="N133" s="618"/>
      <c r="O133" s="618"/>
      <c r="P133" s="618"/>
      <c r="Q133" s="618"/>
      <c r="R133" s="618"/>
      <c r="S133" s="618"/>
      <c r="T133" s="671"/>
      <c r="U133" s="671"/>
      <c r="V133" s="671"/>
      <c r="W133" s="671"/>
      <c r="X133" s="671"/>
      <c r="Y133" s="671"/>
      <c r="Z133" s="671"/>
      <c r="AA133" s="671"/>
      <c r="AB133" s="671"/>
      <c r="AC133" s="671"/>
      <c r="AD133" s="671"/>
      <c r="AE133" s="138"/>
    </row>
    <row r="134" spans="1:31" s="71" customFormat="1" ht="16.5" customHeight="1">
      <c r="A134" s="85"/>
      <c r="B134" s="682" t="s">
        <v>470</v>
      </c>
      <c r="C134" s="682"/>
      <c r="D134" s="682"/>
      <c r="E134" s="682"/>
      <c r="F134" s="682"/>
      <c r="G134" s="682"/>
      <c r="H134" s="682"/>
      <c r="I134" s="682"/>
      <c r="J134" s="682"/>
      <c r="K134" s="618">
        <v>928.8</v>
      </c>
      <c r="L134" s="618"/>
      <c r="M134" s="618"/>
      <c r="N134" s="618"/>
      <c r="O134" s="618"/>
      <c r="P134" s="618"/>
      <c r="Q134" s="618"/>
      <c r="R134" s="618"/>
      <c r="S134" s="618"/>
      <c r="T134" s="671"/>
      <c r="U134" s="671"/>
      <c r="V134" s="671"/>
      <c r="W134" s="671"/>
      <c r="X134" s="671"/>
      <c r="Y134" s="671"/>
      <c r="Z134" s="671"/>
      <c r="AA134" s="671"/>
      <c r="AB134" s="671"/>
      <c r="AC134" s="671"/>
      <c r="AD134" s="671"/>
      <c r="AE134" s="138"/>
    </row>
    <row r="135" spans="1:31" s="71" customFormat="1" ht="16.5" customHeight="1">
      <c r="A135" s="85"/>
      <c r="B135" s="679" t="s">
        <v>205</v>
      </c>
      <c r="C135" s="679"/>
      <c r="D135" s="679"/>
      <c r="E135" s="679"/>
      <c r="F135" s="679"/>
      <c r="G135" s="679"/>
      <c r="H135" s="679"/>
      <c r="I135" s="679"/>
      <c r="J135" s="679"/>
      <c r="K135" s="618">
        <v>225.3</v>
      </c>
      <c r="L135" s="618"/>
      <c r="M135" s="618"/>
      <c r="N135" s="618"/>
      <c r="O135" s="618"/>
      <c r="P135" s="618"/>
      <c r="Q135" s="618"/>
      <c r="R135" s="618"/>
      <c r="S135" s="618"/>
      <c r="T135" s="671"/>
      <c r="U135" s="671"/>
      <c r="V135" s="671"/>
      <c r="W135" s="671"/>
      <c r="X135" s="671"/>
      <c r="Y135" s="671"/>
      <c r="Z135" s="671"/>
      <c r="AA135" s="671"/>
      <c r="AB135" s="671"/>
      <c r="AC135" s="671"/>
      <c r="AD135" s="671"/>
      <c r="AE135" s="138"/>
    </row>
    <row r="136" spans="1:31" s="71" customFormat="1" ht="16.5" customHeight="1">
      <c r="A136" s="85"/>
      <c r="B136" s="679" t="s">
        <v>471</v>
      </c>
      <c r="C136" s="679"/>
      <c r="D136" s="679"/>
      <c r="E136" s="679"/>
      <c r="F136" s="679"/>
      <c r="G136" s="679"/>
      <c r="H136" s="679"/>
      <c r="I136" s="679"/>
      <c r="J136" s="679"/>
      <c r="K136" s="618">
        <v>1530</v>
      </c>
      <c r="L136" s="618"/>
      <c r="M136" s="618"/>
      <c r="N136" s="618"/>
      <c r="O136" s="618"/>
      <c r="P136" s="618"/>
      <c r="Q136" s="618"/>
      <c r="R136" s="618"/>
      <c r="S136" s="618"/>
      <c r="T136" s="671"/>
      <c r="U136" s="671"/>
      <c r="V136" s="671"/>
      <c r="W136" s="671"/>
      <c r="X136" s="671"/>
      <c r="Y136" s="671"/>
      <c r="Z136" s="671"/>
      <c r="AA136" s="671"/>
      <c r="AB136" s="671"/>
      <c r="AC136" s="671"/>
      <c r="AD136" s="671"/>
      <c r="AE136" s="138"/>
    </row>
    <row r="137" spans="1:31" s="71" customFormat="1" ht="16.5" customHeight="1">
      <c r="A137" s="85"/>
      <c r="B137" s="679" t="s">
        <v>472</v>
      </c>
      <c r="C137" s="679"/>
      <c r="D137" s="679"/>
      <c r="E137" s="679"/>
      <c r="F137" s="679"/>
      <c r="G137" s="679"/>
      <c r="H137" s="679"/>
      <c r="I137" s="679"/>
      <c r="J137" s="679"/>
      <c r="K137" s="618">
        <v>300</v>
      </c>
      <c r="L137" s="618"/>
      <c r="M137" s="618"/>
      <c r="N137" s="618"/>
      <c r="O137" s="618"/>
      <c r="P137" s="618"/>
      <c r="Q137" s="618"/>
      <c r="R137" s="618"/>
      <c r="S137" s="618"/>
      <c r="T137" s="671"/>
      <c r="U137" s="671"/>
      <c r="V137" s="671"/>
      <c r="W137" s="671"/>
      <c r="X137" s="671"/>
      <c r="Y137" s="671"/>
      <c r="Z137" s="671"/>
      <c r="AA137" s="671"/>
      <c r="AB137" s="671"/>
      <c r="AC137" s="671"/>
      <c r="AD137" s="671"/>
      <c r="AE137" s="138"/>
    </row>
    <row r="138" spans="1:31" s="71" customFormat="1" ht="16.5" customHeight="1">
      <c r="A138" s="85"/>
      <c r="B138" s="679" t="s">
        <v>473</v>
      </c>
      <c r="C138" s="679"/>
      <c r="D138" s="679"/>
      <c r="E138" s="679"/>
      <c r="F138" s="679"/>
      <c r="G138" s="679"/>
      <c r="H138" s="679"/>
      <c r="I138" s="679"/>
      <c r="J138" s="679"/>
      <c r="K138" s="618">
        <v>179.9</v>
      </c>
      <c r="L138" s="618"/>
      <c r="M138" s="618"/>
      <c r="N138" s="618"/>
      <c r="O138" s="618"/>
      <c r="P138" s="618"/>
      <c r="Q138" s="618"/>
      <c r="R138" s="618"/>
      <c r="S138" s="618"/>
      <c r="T138" s="671"/>
      <c r="U138" s="671"/>
      <c r="V138" s="671"/>
      <c r="W138" s="671"/>
      <c r="X138" s="671"/>
      <c r="Y138" s="671"/>
      <c r="Z138" s="671"/>
      <c r="AA138" s="671"/>
      <c r="AB138" s="671"/>
      <c r="AC138" s="671"/>
      <c r="AD138" s="671"/>
      <c r="AE138" s="138"/>
    </row>
    <row r="139" spans="1:31" s="71" customFormat="1" ht="16.5" customHeight="1">
      <c r="A139" s="85"/>
      <c r="B139" s="679" t="s">
        <v>474</v>
      </c>
      <c r="C139" s="679"/>
      <c r="D139" s="679"/>
      <c r="E139" s="679"/>
      <c r="F139" s="679"/>
      <c r="G139" s="679"/>
      <c r="H139" s="679"/>
      <c r="I139" s="679"/>
      <c r="J139" s="679"/>
      <c r="K139" s="618">
        <v>174</v>
      </c>
      <c r="L139" s="618"/>
      <c r="M139" s="618"/>
      <c r="N139" s="618"/>
      <c r="O139" s="618"/>
      <c r="P139" s="618"/>
      <c r="Q139" s="618"/>
      <c r="R139" s="618"/>
      <c r="S139" s="618"/>
      <c r="T139" s="671"/>
      <c r="U139" s="671"/>
      <c r="V139" s="671"/>
      <c r="W139" s="671"/>
      <c r="X139" s="671"/>
      <c r="Y139" s="671"/>
      <c r="Z139" s="671"/>
      <c r="AA139" s="671"/>
      <c r="AB139" s="671"/>
      <c r="AC139" s="671"/>
      <c r="AD139" s="671"/>
      <c r="AE139" s="138"/>
    </row>
    <row r="140" spans="1:31" s="71" customFormat="1" ht="16.5" customHeight="1">
      <c r="A140" s="85"/>
      <c r="B140" s="679" t="s">
        <v>475</v>
      </c>
      <c r="C140" s="679"/>
      <c r="D140" s="679"/>
      <c r="E140" s="679"/>
      <c r="F140" s="679"/>
      <c r="G140" s="679"/>
      <c r="H140" s="679"/>
      <c r="I140" s="679"/>
      <c r="J140" s="679"/>
      <c r="K140" s="618">
        <f>70+99.9</f>
        <v>169.9</v>
      </c>
      <c r="L140" s="618"/>
      <c r="M140" s="618"/>
      <c r="N140" s="618"/>
      <c r="O140" s="618"/>
      <c r="P140" s="618"/>
      <c r="Q140" s="618"/>
      <c r="R140" s="618"/>
      <c r="S140" s="618"/>
      <c r="T140" s="671"/>
      <c r="U140" s="671"/>
      <c r="V140" s="671"/>
      <c r="W140" s="671"/>
      <c r="X140" s="671"/>
      <c r="Y140" s="671"/>
      <c r="Z140" s="671"/>
      <c r="AA140" s="671"/>
      <c r="AB140" s="671"/>
      <c r="AC140" s="671"/>
      <c r="AD140" s="671"/>
      <c r="AE140" s="138"/>
    </row>
    <row r="141" spans="1:31" s="71" customFormat="1" ht="16.5" customHeight="1">
      <c r="A141" s="85"/>
      <c r="B141" s="689" t="s">
        <v>197</v>
      </c>
      <c r="C141" s="690"/>
      <c r="D141" s="690"/>
      <c r="E141" s="690"/>
      <c r="F141" s="690"/>
      <c r="G141" s="690"/>
      <c r="H141" s="690"/>
      <c r="I141" s="690"/>
      <c r="J141" s="691"/>
      <c r="K141" s="618">
        <v>800</v>
      </c>
      <c r="L141" s="618"/>
      <c r="M141" s="618"/>
      <c r="N141" s="618">
        <f>N93</f>
        <v>4500</v>
      </c>
      <c r="O141" s="618"/>
      <c r="P141" s="618"/>
      <c r="Q141" s="618">
        <f>Q93</f>
        <v>7500</v>
      </c>
      <c r="R141" s="618"/>
      <c r="S141" s="618"/>
      <c r="T141" s="681">
        <f>W141+Y141+AA141+AC141</f>
        <v>27000</v>
      </c>
      <c r="U141" s="681"/>
      <c r="V141" s="681"/>
      <c r="W141" s="686">
        <f>W93</f>
        <v>9000</v>
      </c>
      <c r="X141" s="687"/>
      <c r="Y141" s="671">
        <v>9000</v>
      </c>
      <c r="Z141" s="671"/>
      <c r="AA141" s="733">
        <v>9000</v>
      </c>
      <c r="AB141" s="733"/>
      <c r="AC141" s="671"/>
      <c r="AD141" s="671"/>
      <c r="AE141" s="138"/>
    </row>
    <row r="142" spans="1:31" s="71" customFormat="1" ht="39" customHeight="1">
      <c r="A142" s="85"/>
      <c r="B142" s="679" t="s">
        <v>195</v>
      </c>
      <c r="C142" s="679"/>
      <c r="D142" s="679"/>
      <c r="E142" s="679"/>
      <c r="F142" s="679"/>
      <c r="G142" s="679"/>
      <c r="H142" s="679"/>
      <c r="I142" s="679"/>
      <c r="J142" s="679"/>
      <c r="K142" s="618">
        <v>3772.3</v>
      </c>
      <c r="L142" s="618"/>
      <c r="M142" s="618"/>
      <c r="N142" s="618">
        <f>N94</f>
        <v>4622</v>
      </c>
      <c r="O142" s="618"/>
      <c r="P142" s="618"/>
      <c r="Q142" s="618">
        <f>Q94</f>
        <v>4622</v>
      </c>
      <c r="R142" s="618"/>
      <c r="S142" s="618"/>
      <c r="T142" s="681">
        <f>W142+Y142+AA142+AC142</f>
        <v>2150</v>
      </c>
      <c r="U142" s="681"/>
      <c r="V142" s="681"/>
      <c r="W142" s="686">
        <f>W94</f>
        <v>2150</v>
      </c>
      <c r="X142" s="687"/>
      <c r="Y142" s="671"/>
      <c r="Z142" s="671"/>
      <c r="AA142" s="671"/>
      <c r="AB142" s="671"/>
      <c r="AC142" s="671"/>
      <c r="AD142" s="671"/>
      <c r="AE142" s="138"/>
    </row>
    <row r="143" spans="1:31" s="71" customFormat="1" ht="18" customHeight="1">
      <c r="A143" s="85"/>
      <c r="B143" s="682" t="s">
        <v>344</v>
      </c>
      <c r="C143" s="682"/>
      <c r="D143" s="682"/>
      <c r="E143" s="682"/>
      <c r="F143" s="682"/>
      <c r="G143" s="682"/>
      <c r="H143" s="682"/>
      <c r="I143" s="682"/>
      <c r="J143" s="682"/>
      <c r="K143" s="618"/>
      <c r="L143" s="618"/>
      <c r="M143" s="618"/>
      <c r="N143" s="680"/>
      <c r="O143" s="680"/>
      <c r="P143" s="680"/>
      <c r="Q143" s="618"/>
      <c r="R143" s="618"/>
      <c r="S143" s="618"/>
      <c r="T143" s="681">
        <f>W143+Y143+AA143+AC143</f>
        <v>100</v>
      </c>
      <c r="U143" s="681"/>
      <c r="V143" s="681"/>
      <c r="W143" s="680">
        <v>100</v>
      </c>
      <c r="X143" s="680"/>
      <c r="Y143" s="671"/>
      <c r="Z143" s="671"/>
      <c r="AA143" s="671"/>
      <c r="AB143" s="671"/>
      <c r="AC143" s="671"/>
      <c r="AD143" s="671"/>
      <c r="AE143" s="138"/>
    </row>
    <row r="144" spans="1:31" s="71" customFormat="1" ht="50.25" customHeight="1">
      <c r="A144" s="85"/>
      <c r="B144" s="682" t="s">
        <v>356</v>
      </c>
      <c r="C144" s="682"/>
      <c r="D144" s="682"/>
      <c r="E144" s="682"/>
      <c r="F144" s="682"/>
      <c r="G144" s="682"/>
      <c r="H144" s="682"/>
      <c r="I144" s="682"/>
      <c r="J144" s="682"/>
      <c r="K144" s="618"/>
      <c r="L144" s="618"/>
      <c r="M144" s="618"/>
      <c r="N144" s="680"/>
      <c r="O144" s="680"/>
      <c r="P144" s="680"/>
      <c r="Q144" s="618"/>
      <c r="R144" s="618"/>
      <c r="S144" s="618"/>
      <c r="T144" s="681">
        <f>W144+Y144+AA144+AC144</f>
        <v>3000</v>
      </c>
      <c r="U144" s="681"/>
      <c r="V144" s="681"/>
      <c r="W144" s="680"/>
      <c r="X144" s="680"/>
      <c r="Y144" s="618">
        <v>3000</v>
      </c>
      <c r="Z144" s="618"/>
      <c r="AA144" s="618"/>
      <c r="AB144" s="618"/>
      <c r="AC144" s="618"/>
      <c r="AD144" s="618"/>
      <c r="AE144" s="138"/>
    </row>
    <row r="145" spans="1:31" s="71" customFormat="1" ht="21" customHeight="1">
      <c r="A145" s="85"/>
      <c r="B145" s="679" t="s">
        <v>355</v>
      </c>
      <c r="C145" s="679"/>
      <c r="D145" s="679"/>
      <c r="E145" s="679"/>
      <c r="F145" s="679"/>
      <c r="G145" s="679"/>
      <c r="H145" s="679"/>
      <c r="I145" s="679"/>
      <c r="J145" s="679"/>
      <c r="K145" s="618"/>
      <c r="L145" s="618"/>
      <c r="M145" s="618"/>
      <c r="N145" s="680"/>
      <c r="O145" s="680"/>
      <c r="P145" s="680"/>
      <c r="Q145" s="618"/>
      <c r="R145" s="618"/>
      <c r="S145" s="618"/>
      <c r="T145" s="681">
        <f>W145+Y145+AA145+AC145</f>
        <v>1800</v>
      </c>
      <c r="U145" s="681"/>
      <c r="V145" s="681"/>
      <c r="W145" s="680"/>
      <c r="X145" s="680"/>
      <c r="Y145" s="618">
        <v>1800</v>
      </c>
      <c r="Z145" s="618"/>
      <c r="AA145" s="618"/>
      <c r="AB145" s="618"/>
      <c r="AC145" s="618"/>
      <c r="AD145" s="618"/>
      <c r="AE145" s="138"/>
    </row>
    <row r="146" spans="1:31" s="71" customFormat="1" ht="21.75" customHeight="1">
      <c r="A146" s="85"/>
      <c r="B146" s="679" t="s">
        <v>209</v>
      </c>
      <c r="C146" s="679"/>
      <c r="D146" s="679"/>
      <c r="E146" s="679"/>
      <c r="F146" s="679"/>
      <c r="G146" s="679"/>
      <c r="H146" s="679"/>
      <c r="I146" s="679"/>
      <c r="J146" s="679"/>
      <c r="K146" s="618">
        <v>5294.2</v>
      </c>
      <c r="L146" s="618"/>
      <c r="M146" s="618"/>
      <c r="N146" s="618"/>
      <c r="O146" s="618"/>
      <c r="P146" s="618"/>
      <c r="Q146" s="618"/>
      <c r="R146" s="618"/>
      <c r="S146" s="618"/>
      <c r="T146" s="671"/>
      <c r="U146" s="671"/>
      <c r="V146" s="671"/>
      <c r="W146" s="671"/>
      <c r="X146" s="671"/>
      <c r="Y146" s="671"/>
      <c r="Z146" s="671"/>
      <c r="AA146" s="671"/>
      <c r="AB146" s="671"/>
      <c r="AC146" s="671"/>
      <c r="AD146" s="671"/>
      <c r="AE146" s="138"/>
    </row>
    <row r="147" spans="1:31" s="71" customFormat="1" ht="20.25" customHeight="1">
      <c r="A147" s="85"/>
      <c r="B147" s="695" t="s">
        <v>203</v>
      </c>
      <c r="C147" s="695"/>
      <c r="D147" s="695"/>
      <c r="E147" s="695"/>
      <c r="F147" s="695"/>
      <c r="G147" s="695"/>
      <c r="H147" s="695"/>
      <c r="I147" s="695"/>
      <c r="J147" s="695"/>
      <c r="K147" s="699">
        <f>SUM(K148:M163)</f>
        <v>5380.2</v>
      </c>
      <c r="L147" s="700"/>
      <c r="M147" s="701"/>
      <c r="N147" s="699">
        <f>SUM(N148:P163)</f>
        <v>0</v>
      </c>
      <c r="O147" s="700"/>
      <c r="P147" s="701"/>
      <c r="Q147" s="618"/>
      <c r="R147" s="618"/>
      <c r="S147" s="618"/>
      <c r="T147" s="618"/>
      <c r="U147" s="618"/>
      <c r="V147" s="618"/>
      <c r="W147" s="618"/>
      <c r="X147" s="618"/>
      <c r="Y147" s="618"/>
      <c r="Z147" s="618"/>
      <c r="AA147" s="618"/>
      <c r="AB147" s="618"/>
      <c r="AC147" s="618"/>
      <c r="AD147" s="618"/>
      <c r="AE147" s="138"/>
    </row>
    <row r="148" spans="1:31" s="541" customFormat="1" ht="15" customHeight="1">
      <c r="A148" s="539"/>
      <c r="B148" s="713" t="s">
        <v>468</v>
      </c>
      <c r="C148" s="713"/>
      <c r="D148" s="713"/>
      <c r="E148" s="713"/>
      <c r="F148" s="713"/>
      <c r="G148" s="713"/>
      <c r="H148" s="713"/>
      <c r="I148" s="713"/>
      <c r="J148" s="713"/>
      <c r="K148" s="684">
        <v>156.4</v>
      </c>
      <c r="L148" s="684"/>
      <c r="M148" s="684"/>
      <c r="N148" s="684"/>
      <c r="O148" s="684"/>
      <c r="P148" s="684"/>
      <c r="Q148" s="684"/>
      <c r="R148" s="684"/>
      <c r="S148" s="684"/>
      <c r="T148" s="683"/>
      <c r="U148" s="683"/>
      <c r="V148" s="683"/>
      <c r="W148" s="683"/>
      <c r="X148" s="683"/>
      <c r="Y148" s="683"/>
      <c r="Z148" s="683"/>
      <c r="AA148" s="683"/>
      <c r="AB148" s="683"/>
      <c r="AC148" s="683"/>
      <c r="AD148" s="683"/>
      <c r="AE148" s="540"/>
    </row>
    <row r="149" spans="1:31" s="541" customFormat="1" ht="12" hidden="1" customHeight="1">
      <c r="A149" s="539"/>
      <c r="B149" s="713" t="s">
        <v>208</v>
      </c>
      <c r="C149" s="713"/>
      <c r="D149" s="713"/>
      <c r="E149" s="713"/>
      <c r="F149" s="713"/>
      <c r="G149" s="713"/>
      <c r="H149" s="713"/>
      <c r="I149" s="713"/>
      <c r="J149" s="713"/>
      <c r="K149" s="684"/>
      <c r="L149" s="684"/>
      <c r="M149" s="684"/>
      <c r="N149" s="684"/>
      <c r="O149" s="684"/>
      <c r="P149" s="684"/>
      <c r="Q149" s="684"/>
      <c r="R149" s="684"/>
      <c r="S149" s="684"/>
      <c r="T149" s="683"/>
      <c r="U149" s="683"/>
      <c r="V149" s="683"/>
      <c r="W149" s="683"/>
      <c r="X149" s="683"/>
      <c r="Y149" s="683"/>
      <c r="Z149" s="683"/>
      <c r="AA149" s="683"/>
      <c r="AB149" s="683"/>
      <c r="AC149" s="683"/>
      <c r="AD149" s="683"/>
      <c r="AE149" s="540"/>
    </row>
    <row r="150" spans="1:31" s="541" customFormat="1" ht="12" hidden="1" customHeight="1">
      <c r="A150" s="539"/>
      <c r="B150" s="713" t="s">
        <v>480</v>
      </c>
      <c r="C150" s="713"/>
      <c r="D150" s="713"/>
      <c r="E150" s="713"/>
      <c r="F150" s="713"/>
      <c r="G150" s="713"/>
      <c r="H150" s="713"/>
      <c r="I150" s="713"/>
      <c r="J150" s="713"/>
      <c r="K150" s="684"/>
      <c r="L150" s="684"/>
      <c r="M150" s="684"/>
      <c r="N150" s="684"/>
      <c r="O150" s="684"/>
      <c r="P150" s="684"/>
      <c r="Q150" s="684"/>
      <c r="R150" s="684"/>
      <c r="S150" s="684"/>
      <c r="T150" s="683"/>
      <c r="U150" s="683"/>
      <c r="V150" s="683"/>
      <c r="W150" s="683"/>
      <c r="X150" s="683"/>
      <c r="Y150" s="683"/>
      <c r="Z150" s="683"/>
      <c r="AA150" s="683"/>
      <c r="AB150" s="683"/>
      <c r="AC150" s="683"/>
      <c r="AD150" s="683"/>
      <c r="AE150" s="540"/>
    </row>
    <row r="151" spans="1:31" s="541" customFormat="1" ht="15" customHeight="1">
      <c r="A151" s="539"/>
      <c r="B151" s="713" t="s">
        <v>476</v>
      </c>
      <c r="C151" s="713"/>
      <c r="D151" s="713"/>
      <c r="E151" s="713"/>
      <c r="F151" s="713"/>
      <c r="G151" s="713"/>
      <c r="H151" s="713"/>
      <c r="I151" s="713"/>
      <c r="J151" s="713"/>
      <c r="K151" s="714">
        <v>3459.9</v>
      </c>
      <c r="L151" s="715"/>
      <c r="M151" s="716"/>
      <c r="N151" s="684"/>
      <c r="O151" s="684"/>
      <c r="P151" s="684"/>
      <c r="Q151" s="684"/>
      <c r="R151" s="684"/>
      <c r="S151" s="684"/>
      <c r="T151" s="683"/>
      <c r="U151" s="683"/>
      <c r="V151" s="683"/>
      <c r="W151" s="683"/>
      <c r="X151" s="683"/>
      <c r="Y151" s="683"/>
      <c r="Z151" s="683"/>
      <c r="AA151" s="683"/>
      <c r="AB151" s="683"/>
      <c r="AC151" s="683"/>
      <c r="AD151" s="683"/>
      <c r="AE151" s="540"/>
    </row>
    <row r="152" spans="1:31" s="541" customFormat="1" ht="14.25" customHeight="1">
      <c r="A152" s="539"/>
      <c r="B152" s="713" t="s">
        <v>477</v>
      </c>
      <c r="C152" s="713"/>
      <c r="D152" s="713"/>
      <c r="E152" s="713"/>
      <c r="F152" s="713"/>
      <c r="G152" s="713"/>
      <c r="H152" s="713"/>
      <c r="I152" s="713"/>
      <c r="J152" s="713"/>
      <c r="K152" s="714">
        <v>510</v>
      </c>
      <c r="L152" s="715"/>
      <c r="M152" s="716"/>
      <c r="N152" s="684"/>
      <c r="O152" s="684"/>
      <c r="P152" s="684"/>
      <c r="Q152" s="684"/>
      <c r="R152" s="684"/>
      <c r="S152" s="684"/>
      <c r="T152" s="683"/>
      <c r="U152" s="683"/>
      <c r="V152" s="683"/>
      <c r="W152" s="683"/>
      <c r="X152" s="683"/>
      <c r="Y152" s="683"/>
      <c r="Z152" s="683"/>
      <c r="AA152" s="683"/>
      <c r="AB152" s="683"/>
      <c r="AC152" s="683"/>
      <c r="AD152" s="683"/>
      <c r="AE152" s="540"/>
    </row>
    <row r="153" spans="1:31" s="541" customFormat="1" ht="12" hidden="1" customHeight="1">
      <c r="A153" s="539"/>
      <c r="B153" s="713" t="s">
        <v>478</v>
      </c>
      <c r="C153" s="713"/>
      <c r="D153" s="713"/>
      <c r="E153" s="713"/>
      <c r="F153" s="713"/>
      <c r="G153" s="713"/>
      <c r="H153" s="713"/>
      <c r="I153" s="713"/>
      <c r="J153" s="713"/>
      <c r="K153" s="684"/>
      <c r="L153" s="684"/>
      <c r="M153" s="684"/>
      <c r="N153" s="684"/>
      <c r="O153" s="684"/>
      <c r="P153" s="684"/>
      <c r="Q153" s="684"/>
      <c r="R153" s="684"/>
      <c r="S153" s="684"/>
      <c r="T153" s="683"/>
      <c r="U153" s="683"/>
      <c r="V153" s="683"/>
      <c r="W153" s="683"/>
      <c r="X153" s="683"/>
      <c r="Y153" s="683"/>
      <c r="Z153" s="683"/>
      <c r="AA153" s="683"/>
      <c r="AB153" s="683"/>
      <c r="AC153" s="683"/>
      <c r="AD153" s="683"/>
      <c r="AE153" s="540"/>
    </row>
    <row r="154" spans="1:31" s="541" customFormat="1" ht="15" customHeight="1">
      <c r="A154" s="539"/>
      <c r="B154" s="713" t="s">
        <v>479</v>
      </c>
      <c r="C154" s="713"/>
      <c r="D154" s="713"/>
      <c r="E154" s="713"/>
      <c r="F154" s="713"/>
      <c r="G154" s="713"/>
      <c r="H154" s="713"/>
      <c r="I154" s="713"/>
      <c r="J154" s="713"/>
      <c r="K154" s="684">
        <v>790</v>
      </c>
      <c r="L154" s="684"/>
      <c r="M154" s="684"/>
      <c r="N154" s="684"/>
      <c r="O154" s="684"/>
      <c r="P154" s="684"/>
      <c r="Q154" s="684"/>
      <c r="R154" s="684"/>
      <c r="S154" s="684"/>
      <c r="T154" s="683"/>
      <c r="U154" s="683"/>
      <c r="V154" s="683"/>
      <c r="W154" s="683"/>
      <c r="X154" s="683"/>
      <c r="Y154" s="683"/>
      <c r="Z154" s="683"/>
      <c r="AA154" s="683"/>
      <c r="AB154" s="683"/>
      <c r="AC154" s="683"/>
      <c r="AD154" s="683"/>
      <c r="AE154" s="540"/>
    </row>
    <row r="155" spans="1:31" s="541" customFormat="1" ht="12" hidden="1" customHeight="1">
      <c r="A155" s="539"/>
      <c r="B155" s="713" t="s">
        <v>454</v>
      </c>
      <c r="C155" s="713"/>
      <c r="D155" s="713"/>
      <c r="E155" s="713"/>
      <c r="F155" s="713"/>
      <c r="G155" s="713"/>
      <c r="H155" s="713"/>
      <c r="I155" s="713"/>
      <c r="J155" s="713"/>
      <c r="K155" s="684"/>
      <c r="L155" s="684"/>
      <c r="M155" s="684"/>
      <c r="N155" s="684"/>
      <c r="O155" s="684"/>
      <c r="P155" s="684"/>
      <c r="Q155" s="706"/>
      <c r="R155" s="706"/>
      <c r="S155" s="706"/>
      <c r="T155" s="683"/>
      <c r="U155" s="683"/>
      <c r="V155" s="683"/>
      <c r="W155" s="683"/>
      <c r="X155" s="683"/>
      <c r="Y155" s="683"/>
      <c r="Z155" s="683"/>
      <c r="AA155" s="683"/>
      <c r="AB155" s="683"/>
      <c r="AC155" s="683"/>
      <c r="AD155" s="683"/>
      <c r="AE155" s="540"/>
    </row>
    <row r="156" spans="1:31" s="541" customFormat="1" ht="12" hidden="1" customHeight="1">
      <c r="A156" s="539"/>
      <c r="B156" s="713" t="s">
        <v>455</v>
      </c>
      <c r="C156" s="713"/>
      <c r="D156" s="713"/>
      <c r="E156" s="713"/>
      <c r="F156" s="713"/>
      <c r="G156" s="713"/>
      <c r="H156" s="713"/>
      <c r="I156" s="713"/>
      <c r="J156" s="713"/>
      <c r="K156" s="684"/>
      <c r="L156" s="684"/>
      <c r="M156" s="684"/>
      <c r="N156" s="684"/>
      <c r="O156" s="684"/>
      <c r="P156" s="684"/>
      <c r="Q156" s="706"/>
      <c r="R156" s="706"/>
      <c r="S156" s="706"/>
      <c r="T156" s="683"/>
      <c r="U156" s="683"/>
      <c r="V156" s="683"/>
      <c r="W156" s="683"/>
      <c r="X156" s="683"/>
      <c r="Y156" s="683"/>
      <c r="Z156" s="683"/>
      <c r="AA156" s="683"/>
      <c r="AB156" s="683"/>
      <c r="AC156" s="683"/>
      <c r="AD156" s="683"/>
      <c r="AE156" s="540"/>
    </row>
    <row r="157" spans="1:31" s="541" customFormat="1" ht="15" customHeight="1">
      <c r="A157" s="539"/>
      <c r="B157" s="713" t="s">
        <v>456</v>
      </c>
      <c r="C157" s="713"/>
      <c r="D157" s="713"/>
      <c r="E157" s="713"/>
      <c r="F157" s="713"/>
      <c r="G157" s="713"/>
      <c r="H157" s="713"/>
      <c r="I157" s="713"/>
      <c r="J157" s="713"/>
      <c r="K157" s="684">
        <v>463.9</v>
      </c>
      <c r="L157" s="684"/>
      <c r="M157" s="684"/>
      <c r="N157" s="684"/>
      <c r="O157" s="684"/>
      <c r="P157" s="684"/>
      <c r="Q157" s="684"/>
      <c r="R157" s="684"/>
      <c r="S157" s="684"/>
      <c r="T157" s="683"/>
      <c r="U157" s="683"/>
      <c r="V157" s="683"/>
      <c r="W157" s="683"/>
      <c r="X157" s="683"/>
      <c r="Y157" s="683"/>
      <c r="Z157" s="683"/>
      <c r="AA157" s="683"/>
      <c r="AB157" s="683"/>
      <c r="AC157" s="683"/>
      <c r="AD157" s="683"/>
      <c r="AE157" s="540"/>
    </row>
    <row r="158" spans="1:31" s="71" customFormat="1" ht="15" hidden="1" customHeight="1">
      <c r="A158" s="85"/>
      <c r="B158" s="679" t="s">
        <v>457</v>
      </c>
      <c r="C158" s="679"/>
      <c r="D158" s="679"/>
      <c r="E158" s="679"/>
      <c r="F158" s="679"/>
      <c r="G158" s="679"/>
      <c r="H158" s="679"/>
      <c r="I158" s="679"/>
      <c r="J158" s="679"/>
      <c r="K158" s="618"/>
      <c r="L158" s="618"/>
      <c r="M158" s="618"/>
      <c r="N158" s="618"/>
      <c r="O158" s="618"/>
      <c r="P158" s="618"/>
      <c r="Q158" s="618"/>
      <c r="R158" s="618"/>
      <c r="S158" s="618"/>
      <c r="T158" s="671"/>
      <c r="U158" s="671"/>
      <c r="V158" s="671"/>
      <c r="W158" s="671"/>
      <c r="X158" s="671"/>
      <c r="Y158" s="671"/>
      <c r="Z158" s="671"/>
      <c r="AA158" s="671"/>
      <c r="AB158" s="671"/>
      <c r="AC158" s="671"/>
      <c r="AD158" s="671"/>
      <c r="AE158" s="138"/>
    </row>
    <row r="159" spans="1:31" s="71" customFormat="1" ht="15" hidden="1" customHeight="1">
      <c r="A159" s="85"/>
      <c r="B159" s="679" t="s">
        <v>458</v>
      </c>
      <c r="C159" s="679"/>
      <c r="D159" s="679"/>
      <c r="E159" s="679"/>
      <c r="F159" s="679"/>
      <c r="G159" s="679"/>
      <c r="H159" s="679"/>
      <c r="I159" s="679"/>
      <c r="J159" s="679"/>
      <c r="K159" s="618"/>
      <c r="L159" s="618"/>
      <c r="M159" s="618"/>
      <c r="N159" s="618"/>
      <c r="O159" s="618"/>
      <c r="P159" s="618"/>
      <c r="Q159" s="618"/>
      <c r="R159" s="618"/>
      <c r="S159" s="618"/>
      <c r="T159" s="671"/>
      <c r="U159" s="671"/>
      <c r="V159" s="671"/>
      <c r="W159" s="671"/>
      <c r="X159" s="671"/>
      <c r="Y159" s="671"/>
      <c r="Z159" s="671"/>
      <c r="AA159" s="671"/>
      <c r="AB159" s="671"/>
      <c r="AC159" s="671"/>
      <c r="AD159" s="671"/>
      <c r="AE159" s="138"/>
    </row>
    <row r="160" spans="1:31" s="71" customFormat="1" ht="15" hidden="1" customHeight="1">
      <c r="A160" s="85"/>
      <c r="B160" s="679" t="s">
        <v>459</v>
      </c>
      <c r="C160" s="679"/>
      <c r="D160" s="679"/>
      <c r="E160" s="679"/>
      <c r="F160" s="679"/>
      <c r="G160" s="679"/>
      <c r="H160" s="679"/>
      <c r="I160" s="679"/>
      <c r="J160" s="679"/>
      <c r="K160" s="618"/>
      <c r="L160" s="618"/>
      <c r="M160" s="618"/>
      <c r="N160" s="618"/>
      <c r="O160" s="618"/>
      <c r="P160" s="618"/>
      <c r="Q160" s="618"/>
      <c r="R160" s="618"/>
      <c r="S160" s="618"/>
      <c r="T160" s="671"/>
      <c r="U160" s="671"/>
      <c r="V160" s="671"/>
      <c r="W160" s="671"/>
      <c r="X160" s="671"/>
      <c r="Y160" s="671"/>
      <c r="Z160" s="671"/>
      <c r="AA160" s="671"/>
      <c r="AB160" s="671"/>
      <c r="AC160" s="671"/>
      <c r="AD160" s="671"/>
      <c r="AE160" s="138"/>
    </row>
    <row r="161" spans="1:31" s="71" customFormat="1" ht="39" hidden="1" customHeight="1">
      <c r="A161" s="85"/>
      <c r="B161" s="679" t="s">
        <v>465</v>
      </c>
      <c r="C161" s="679"/>
      <c r="D161" s="679"/>
      <c r="E161" s="679"/>
      <c r="F161" s="679"/>
      <c r="G161" s="679"/>
      <c r="H161" s="679"/>
      <c r="I161" s="679"/>
      <c r="J161" s="679"/>
      <c r="K161" s="620"/>
      <c r="L161" s="705"/>
      <c r="M161" s="621"/>
      <c r="N161" s="342"/>
      <c r="O161" s="345"/>
      <c r="P161" s="277"/>
      <c r="Q161" s="629"/>
      <c r="R161" s="629"/>
      <c r="S161" s="629"/>
      <c r="T161" s="671"/>
      <c r="U161" s="671"/>
      <c r="V161" s="671"/>
      <c r="W161" s="671"/>
      <c r="X161" s="671"/>
      <c r="Y161" s="671"/>
      <c r="Z161" s="671"/>
      <c r="AA161" s="671"/>
      <c r="AB161" s="671"/>
      <c r="AC161" s="671"/>
      <c r="AD161" s="671"/>
      <c r="AE161" s="138"/>
    </row>
    <row r="162" spans="1:31" s="71" customFormat="1" ht="35.25" hidden="1" customHeight="1">
      <c r="A162" s="85"/>
      <c r="B162" s="679" t="s">
        <v>466</v>
      </c>
      <c r="C162" s="679"/>
      <c r="D162" s="679"/>
      <c r="E162" s="679"/>
      <c r="F162" s="679"/>
      <c r="G162" s="679"/>
      <c r="H162" s="679"/>
      <c r="I162" s="679"/>
      <c r="J162" s="679"/>
      <c r="K162" s="620"/>
      <c r="L162" s="705"/>
      <c r="M162" s="621"/>
      <c r="N162" s="342"/>
      <c r="O162" s="345"/>
      <c r="P162" s="277"/>
      <c r="Q162" s="629"/>
      <c r="R162" s="629"/>
      <c r="S162" s="629"/>
      <c r="T162" s="671"/>
      <c r="U162" s="671"/>
      <c r="V162" s="671"/>
      <c r="W162" s="671"/>
      <c r="X162" s="671"/>
      <c r="Y162" s="671"/>
      <c r="Z162" s="671"/>
      <c r="AA162" s="671"/>
      <c r="AB162" s="671"/>
      <c r="AC162" s="671"/>
      <c r="AD162" s="671"/>
      <c r="AE162" s="138"/>
    </row>
    <row r="163" spans="1:31" s="71" customFormat="1" ht="15" hidden="1" customHeight="1">
      <c r="A163" s="85"/>
      <c r="B163" s="679" t="s">
        <v>467</v>
      </c>
      <c r="C163" s="679"/>
      <c r="D163" s="679"/>
      <c r="E163" s="679"/>
      <c r="F163" s="679"/>
      <c r="G163" s="679"/>
      <c r="H163" s="679"/>
      <c r="I163" s="679"/>
      <c r="J163" s="679"/>
      <c r="K163" s="620"/>
      <c r="L163" s="705"/>
      <c r="M163" s="621"/>
      <c r="N163" s="342"/>
      <c r="O163" s="345"/>
      <c r="P163" s="277"/>
      <c r="Q163" s="629"/>
      <c r="R163" s="629"/>
      <c r="S163" s="629"/>
      <c r="T163" s="671"/>
      <c r="U163" s="671"/>
      <c r="V163" s="671"/>
      <c r="W163" s="671"/>
      <c r="X163" s="671"/>
      <c r="Y163" s="671"/>
      <c r="Z163" s="671"/>
      <c r="AA163" s="671"/>
      <c r="AB163" s="671"/>
      <c r="AC163" s="671"/>
      <c r="AD163" s="671"/>
      <c r="AE163" s="138"/>
    </row>
    <row r="164" spans="1:31" s="71" customFormat="1" ht="15" hidden="1" customHeight="1">
      <c r="A164" s="85"/>
      <c r="B164" s="679" t="s">
        <v>659</v>
      </c>
      <c r="C164" s="679"/>
      <c r="D164" s="679"/>
      <c r="E164" s="679"/>
      <c r="F164" s="679"/>
      <c r="G164" s="679"/>
      <c r="H164" s="679"/>
      <c r="I164" s="679"/>
      <c r="J164" s="679"/>
      <c r="K164" s="620"/>
      <c r="L164" s="705"/>
      <c r="M164" s="621"/>
      <c r="N164" s="342"/>
      <c r="O164" s="345"/>
      <c r="P164" s="277"/>
      <c r="Q164" s="629"/>
      <c r="R164" s="629"/>
      <c r="S164" s="629"/>
      <c r="T164" s="671"/>
      <c r="U164" s="671"/>
      <c r="V164" s="671"/>
      <c r="W164" s="671"/>
      <c r="X164" s="671"/>
      <c r="Y164" s="671"/>
      <c r="Z164" s="671"/>
      <c r="AA164" s="671"/>
      <c r="AB164" s="671"/>
      <c r="AC164" s="671"/>
      <c r="AD164" s="671"/>
      <c r="AE164" s="138"/>
    </row>
    <row r="165" spans="1:31" s="71" customFormat="1" ht="20.25" customHeight="1">
      <c r="A165" s="85"/>
      <c r="B165" s="695" t="s">
        <v>251</v>
      </c>
      <c r="C165" s="695"/>
      <c r="D165" s="695"/>
      <c r="E165" s="695"/>
      <c r="F165" s="695"/>
      <c r="G165" s="695"/>
      <c r="H165" s="695"/>
      <c r="I165" s="695"/>
      <c r="J165" s="695"/>
      <c r="K165" s="696"/>
      <c r="L165" s="697"/>
      <c r="M165" s="698"/>
      <c r="N165" s="699">
        <f>SUM(N166:P167)</f>
        <v>1667.2</v>
      </c>
      <c r="O165" s="700"/>
      <c r="P165" s="701"/>
      <c r="Q165" s="699">
        <f>SUM(Q166:S167)</f>
        <v>987.2</v>
      </c>
      <c r="R165" s="700"/>
      <c r="S165" s="701"/>
      <c r="T165" s="688"/>
      <c r="U165" s="688"/>
      <c r="V165" s="688"/>
      <c r="W165" s="688"/>
      <c r="X165" s="688"/>
      <c r="Y165" s="688"/>
      <c r="Z165" s="688"/>
      <c r="AA165" s="688"/>
      <c r="AB165" s="688"/>
      <c r="AC165" s="688"/>
      <c r="AD165" s="688"/>
      <c r="AE165" s="138"/>
    </row>
    <row r="166" spans="1:31" s="71" customFormat="1" ht="15" customHeight="1">
      <c r="A166" s="85"/>
      <c r="B166" s="689" t="s">
        <v>239</v>
      </c>
      <c r="C166" s="690"/>
      <c r="D166" s="690"/>
      <c r="E166" s="690"/>
      <c r="F166" s="690"/>
      <c r="G166" s="690"/>
      <c r="H166" s="690"/>
      <c r="I166" s="690"/>
      <c r="J166" s="691"/>
      <c r="K166" s="625"/>
      <c r="L166" s="673"/>
      <c r="M166" s="626"/>
      <c r="N166" s="620">
        <f>N118</f>
        <v>987.2</v>
      </c>
      <c r="O166" s="705"/>
      <c r="P166" s="621"/>
      <c r="Q166" s="620">
        <f>Q118</f>
        <v>987.2</v>
      </c>
      <c r="R166" s="705"/>
      <c r="S166" s="621"/>
      <c r="T166" s="688">
        <f>W166+Y166+AA166+AC166</f>
        <v>0</v>
      </c>
      <c r="U166" s="688"/>
      <c r="V166" s="688"/>
      <c r="W166" s="685"/>
      <c r="X166" s="685"/>
      <c r="Y166" s="685"/>
      <c r="Z166" s="685"/>
      <c r="AA166" s="685"/>
      <c r="AB166" s="685"/>
      <c r="AC166" s="685"/>
      <c r="AD166" s="685"/>
      <c r="AE166" s="138"/>
    </row>
    <row r="167" spans="1:31" s="71" customFormat="1" ht="22.5" customHeight="1">
      <c r="A167" s="85"/>
      <c r="B167" s="702" t="s">
        <v>241</v>
      </c>
      <c r="C167" s="703"/>
      <c r="D167" s="703"/>
      <c r="E167" s="703"/>
      <c r="F167" s="703"/>
      <c r="G167" s="703"/>
      <c r="H167" s="703"/>
      <c r="I167" s="703"/>
      <c r="J167" s="704"/>
      <c r="K167" s="625"/>
      <c r="L167" s="673"/>
      <c r="M167" s="626"/>
      <c r="N167" s="620">
        <f>N119</f>
        <v>680</v>
      </c>
      <c r="O167" s="705"/>
      <c r="P167" s="621"/>
      <c r="Q167" s="629"/>
      <c r="R167" s="629"/>
      <c r="S167" s="629"/>
      <c r="T167" s="688">
        <f>W167+Y167+AA167+AC167</f>
        <v>0</v>
      </c>
      <c r="U167" s="688"/>
      <c r="V167" s="688"/>
      <c r="W167" s="685"/>
      <c r="X167" s="685"/>
      <c r="Y167" s="685"/>
      <c r="Z167" s="685"/>
      <c r="AA167" s="685"/>
      <c r="AB167" s="685"/>
      <c r="AC167" s="685"/>
      <c r="AD167" s="685"/>
      <c r="AE167" s="138"/>
    </row>
    <row r="168" spans="1:31" s="71" customFormat="1" ht="15" hidden="1" customHeight="1">
      <c r="A168" s="85"/>
      <c r="B168" s="689"/>
      <c r="C168" s="690"/>
      <c r="D168" s="690"/>
      <c r="E168" s="690"/>
      <c r="F168" s="690"/>
      <c r="G168" s="690"/>
      <c r="H168" s="690"/>
      <c r="I168" s="690"/>
      <c r="J168" s="691"/>
      <c r="K168" s="342"/>
      <c r="L168" s="345"/>
      <c r="M168" s="277"/>
      <c r="N168" s="342"/>
      <c r="O168" s="345"/>
      <c r="P168" s="277"/>
      <c r="Q168" s="342"/>
      <c r="R168" s="345"/>
      <c r="S168" s="277"/>
      <c r="T168" s="680"/>
      <c r="U168" s="680"/>
      <c r="V168" s="680"/>
      <c r="W168" s="686"/>
      <c r="X168" s="687"/>
      <c r="Y168" s="675"/>
      <c r="Z168" s="676"/>
      <c r="AA168" s="675"/>
      <c r="AB168" s="676"/>
      <c r="AC168" s="671"/>
      <c r="AD168" s="671"/>
      <c r="AE168" s="138"/>
    </row>
    <row r="169" spans="1:31" s="71" customFormat="1" ht="18.75" customHeight="1">
      <c r="A169" s="718" t="s">
        <v>717</v>
      </c>
      <c r="B169" s="718"/>
      <c r="C169" s="718"/>
      <c r="D169" s="718"/>
      <c r="E169" s="718"/>
      <c r="F169" s="718"/>
      <c r="G169" s="718"/>
      <c r="H169" s="718"/>
      <c r="I169" s="718"/>
      <c r="J169" s="718"/>
      <c r="K169" s="625"/>
      <c r="L169" s="673"/>
      <c r="M169" s="626"/>
      <c r="N169" s="625"/>
      <c r="O169" s="673"/>
      <c r="P169" s="626"/>
      <c r="Q169" s="629"/>
      <c r="R169" s="629"/>
      <c r="S169" s="629"/>
      <c r="T169" s="671"/>
      <c r="U169" s="671"/>
      <c r="V169" s="671"/>
      <c r="W169" s="671"/>
      <c r="X169" s="671"/>
      <c r="Y169" s="671"/>
      <c r="Z169" s="671"/>
      <c r="AA169" s="671"/>
      <c r="AB169" s="671"/>
      <c r="AC169" s="671"/>
      <c r="AD169" s="671"/>
      <c r="AE169" s="138"/>
    </row>
    <row r="170" spans="1:31" ht="17.25" customHeight="1">
      <c r="B170" s="262"/>
      <c r="C170" s="262"/>
      <c r="D170" s="262"/>
      <c r="E170" s="262"/>
      <c r="F170" s="262"/>
      <c r="G170" s="3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32"/>
      <c r="U170" s="262"/>
      <c r="V170" s="263"/>
      <c r="W170" s="263"/>
    </row>
    <row r="171" spans="1:31" s="30" customFormat="1" ht="17.25" customHeight="1">
      <c r="B171" s="748" t="s">
        <v>1284</v>
      </c>
      <c r="C171" s="749"/>
      <c r="D171" s="749"/>
      <c r="E171" s="749"/>
      <c r="F171" s="749"/>
      <c r="G171" s="65"/>
      <c r="H171" s="65"/>
      <c r="I171" s="65"/>
      <c r="J171" s="65"/>
      <c r="K171" s="65"/>
      <c r="L171" s="725" t="s">
        <v>767</v>
      </c>
      <c r="M171" s="725"/>
      <c r="N171" s="725"/>
      <c r="O171" s="725"/>
      <c r="P171" s="725"/>
      <c r="Q171" s="204"/>
      <c r="R171" s="204"/>
      <c r="S171" s="204"/>
      <c r="T171" s="204"/>
      <c r="U171" s="204"/>
      <c r="V171" s="575" t="s">
        <v>317</v>
      </c>
      <c r="W171" s="575"/>
      <c r="X171" s="575"/>
      <c r="Y171" s="575"/>
      <c r="Z171" s="575"/>
    </row>
    <row r="172" spans="1:31" s="4" customFormat="1" ht="11.25" customHeight="1">
      <c r="B172" s="3"/>
      <c r="C172" s="203" t="s">
        <v>740</v>
      </c>
      <c r="E172" s="38"/>
      <c r="F172" s="38"/>
      <c r="G172" s="38"/>
      <c r="H172" s="38"/>
      <c r="I172" s="38"/>
      <c r="J172" s="38"/>
      <c r="K172" s="38"/>
      <c r="M172" s="3"/>
      <c r="N172" s="202" t="s">
        <v>741</v>
      </c>
      <c r="O172" s="130"/>
      <c r="P172" s="203"/>
      <c r="Q172" s="131"/>
      <c r="R172" s="131"/>
      <c r="S172" s="131"/>
      <c r="T172" s="203"/>
      <c r="U172" s="203"/>
      <c r="V172" s="584" t="s">
        <v>785</v>
      </c>
      <c r="W172" s="584"/>
      <c r="X172" s="584"/>
      <c r="Y172" s="584"/>
      <c r="Z172" s="584"/>
    </row>
    <row r="173" spans="1:31" ht="11.25" customHeight="1">
      <c r="B173" s="243"/>
      <c r="C173" s="243"/>
      <c r="D173" s="243"/>
      <c r="E173" s="243"/>
      <c r="F173" s="244"/>
      <c r="G173" s="244"/>
      <c r="H173" s="244"/>
      <c r="I173" s="244"/>
      <c r="J173" s="244"/>
      <c r="K173" s="244"/>
      <c r="L173" s="244"/>
      <c r="M173" s="243"/>
      <c r="N173" s="243"/>
      <c r="O173" s="243"/>
      <c r="P173" s="243"/>
      <c r="Q173" s="244"/>
      <c r="R173" s="244"/>
      <c r="S173" s="244"/>
      <c r="T173" s="244"/>
      <c r="U173" s="243"/>
      <c r="V173" s="243"/>
      <c r="W173" s="243"/>
      <c r="X173" s="244"/>
      <c r="Y173" s="244"/>
      <c r="Z173" s="244"/>
      <c r="AA173" s="244"/>
    </row>
    <row r="174" spans="1:31" ht="20.100000000000001" customHeight="1">
      <c r="B174" s="719" t="s">
        <v>1168</v>
      </c>
      <c r="C174" s="719"/>
      <c r="D174" s="224"/>
      <c r="E174" s="608" t="s">
        <v>1165</v>
      </c>
      <c r="F174" s="608"/>
      <c r="G174" s="570"/>
      <c r="H174" s="570"/>
      <c r="I174" s="570"/>
      <c r="J174" s="245"/>
      <c r="K174" s="245"/>
      <c r="L174" s="725"/>
      <c r="M174" s="725"/>
      <c r="N174" s="725"/>
      <c r="O174" s="725"/>
      <c r="P174" s="725"/>
      <c r="Q174" s="245"/>
      <c r="R174" s="245"/>
      <c r="S174" s="245"/>
      <c r="T174" s="245"/>
      <c r="U174" s="246"/>
      <c r="V174" s="246"/>
      <c r="W174" s="570" t="s">
        <v>1169</v>
      </c>
      <c r="X174" s="570"/>
      <c r="Y174" s="570"/>
      <c r="Z174" s="15"/>
      <c r="AA174" s="15"/>
    </row>
    <row r="175" spans="1:31" ht="13.5" customHeight="1">
      <c r="B175" s="15"/>
      <c r="C175"/>
      <c r="D175"/>
      <c r="E175" s="574" t="s">
        <v>741</v>
      </c>
      <c r="F175" s="574"/>
      <c r="G175" s="571"/>
      <c r="H175" s="571"/>
      <c r="I175" s="571"/>
      <c r="J175" s="246"/>
      <c r="K175" s="246"/>
      <c r="L175" s="4"/>
      <c r="M175" s="3"/>
      <c r="N175" s="202"/>
      <c r="O175" s="130"/>
      <c r="P175" s="203"/>
      <c r="Q175" s="246"/>
      <c r="R175" s="246"/>
      <c r="S175" s="246"/>
      <c r="T175" s="246"/>
      <c r="U175" s="246"/>
      <c r="V175" s="246"/>
      <c r="W175" s="571" t="s">
        <v>1167</v>
      </c>
      <c r="X175" s="571"/>
      <c r="Y175" s="571"/>
      <c r="Z175" s="15"/>
      <c r="AA175" s="15"/>
    </row>
    <row r="176" spans="1:31" ht="6.75" customHeight="1">
      <c r="B176" s="15"/>
      <c r="C176"/>
      <c r="D176"/>
      <c r="E176" s="225"/>
      <c r="F176" s="225"/>
      <c r="G176"/>
      <c r="H176" s="226"/>
      <c r="I176" s="22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6"/>
      <c r="T176" s="246"/>
      <c r="U176" s="246"/>
      <c r="V176" s="246"/>
      <c r="W176" s="15"/>
      <c r="X176" s="15"/>
      <c r="Y176" s="15"/>
      <c r="Z176" s="15"/>
      <c r="AA176" s="15"/>
    </row>
    <row r="177" spans="2:28">
      <c r="B177" s="719" t="s">
        <v>1170</v>
      </c>
      <c r="C177" s="719"/>
      <c r="D177" s="224"/>
      <c r="E177" s="608" t="s">
        <v>1165</v>
      </c>
      <c r="F177" s="608"/>
      <c r="G177" s="570"/>
      <c r="H177" s="570"/>
      <c r="I177" s="570"/>
      <c r="W177" s="570" t="s">
        <v>1171</v>
      </c>
      <c r="X177" s="570"/>
      <c r="Y177" s="570"/>
    </row>
    <row r="178" spans="2:28">
      <c r="C178" s="221"/>
      <c r="D178"/>
      <c r="E178" s="574" t="s">
        <v>741</v>
      </c>
      <c r="F178" s="574"/>
      <c r="G178" s="571"/>
      <c r="H178" s="571"/>
      <c r="I178" s="571"/>
      <c r="L178" s="725"/>
      <c r="M178" s="725"/>
      <c r="N178" s="725"/>
      <c r="O178" s="725"/>
      <c r="P178" s="725"/>
      <c r="W178" s="571" t="s">
        <v>1167</v>
      </c>
      <c r="X178" s="571"/>
      <c r="Y178" s="571"/>
    </row>
    <row r="179" spans="2:28" ht="9" customHeight="1">
      <c r="C179" s="221"/>
      <c r="D179"/>
      <c r="E179"/>
      <c r="F179"/>
      <c r="G179"/>
      <c r="H179"/>
      <c r="I179"/>
      <c r="L179" s="4"/>
      <c r="M179" s="3"/>
      <c r="N179" s="202"/>
      <c r="O179" s="130"/>
      <c r="P179" s="203"/>
      <c r="W179"/>
      <c r="X179"/>
      <c r="Y179"/>
    </row>
    <row r="180" spans="2:28">
      <c r="B180" s="719" t="s">
        <v>1172</v>
      </c>
      <c r="C180" s="719"/>
      <c r="D180" s="224"/>
      <c r="E180" s="608" t="s">
        <v>1165</v>
      </c>
      <c r="F180" s="608"/>
      <c r="G180" s="570"/>
      <c r="H180" s="570"/>
      <c r="I180" s="570"/>
      <c r="W180" s="724" t="s">
        <v>1173</v>
      </c>
      <c r="X180" s="724"/>
      <c r="Y180" s="724"/>
      <c r="Z180" s="724"/>
      <c r="AA180" s="724"/>
      <c r="AB180" s="724"/>
    </row>
    <row r="181" spans="2:28">
      <c r="C181"/>
      <c r="D181"/>
      <c r="E181" s="574" t="s">
        <v>741</v>
      </c>
      <c r="F181" s="574"/>
      <c r="G181" s="571"/>
      <c r="H181" s="571"/>
      <c r="I181" s="571"/>
      <c r="W181" s="571" t="s">
        <v>1167</v>
      </c>
      <c r="X181" s="571"/>
      <c r="Y181" s="571"/>
    </row>
    <row r="182" spans="2:28" ht="19.5">
      <c r="B182" s="33"/>
    </row>
    <row r="183" spans="2:28" ht="19.5">
      <c r="B183" s="33"/>
    </row>
    <row r="184" spans="2:28" ht="19.5">
      <c r="B184" s="33"/>
    </row>
    <row r="185" spans="2:28" ht="19.5">
      <c r="B185" s="33"/>
    </row>
  </sheetData>
  <mergeCells count="1361">
    <mergeCell ref="T149:V149"/>
    <mergeCell ref="AC147:AD147"/>
    <mergeCell ref="T146:V146"/>
    <mergeCell ref="Y148:Z148"/>
    <mergeCell ref="AC146:AD146"/>
    <mergeCell ref="AC148:AD148"/>
    <mergeCell ref="K150:M150"/>
    <mergeCell ref="T147:V147"/>
    <mergeCell ref="W147:X147"/>
    <mergeCell ref="Y147:Z147"/>
    <mergeCell ref="N149:P149"/>
    <mergeCell ref="Q159:S159"/>
    <mergeCell ref="T159:V159"/>
    <mergeCell ref="W159:X159"/>
    <mergeCell ref="Y159:Z159"/>
    <mergeCell ref="AA159:AB159"/>
    <mergeCell ref="AA147:AB147"/>
    <mergeCell ref="Q150:S150"/>
    <mergeCell ref="T150:V150"/>
    <mergeCell ref="W150:X150"/>
    <mergeCell ref="Y150:Z150"/>
    <mergeCell ref="Y167:Z167"/>
    <mergeCell ref="AA167:AB167"/>
    <mergeCell ref="AC167:AD167"/>
    <mergeCell ref="Q164:S164"/>
    <mergeCell ref="AA162:AB162"/>
    <mergeCell ref="Q160:S160"/>
    <mergeCell ref="T160:V160"/>
    <mergeCell ref="AA160:AB160"/>
    <mergeCell ref="AC139:AD139"/>
    <mergeCell ref="AC140:AD140"/>
    <mergeCell ref="W140:X140"/>
    <mergeCell ref="T136:V136"/>
    <mergeCell ref="W136:X136"/>
    <mergeCell ref="Y136:Z136"/>
    <mergeCell ref="AA136:AB136"/>
    <mergeCell ref="T141:V141"/>
    <mergeCell ref="W141:X141"/>
    <mergeCell ref="Y141:Z141"/>
    <mergeCell ref="T139:V139"/>
    <mergeCell ref="W139:X139"/>
    <mergeCell ref="Y139:Z139"/>
    <mergeCell ref="Q140:S140"/>
    <mergeCell ref="AC130:AD130"/>
    <mergeCell ref="AA137:AB137"/>
    <mergeCell ref="W146:X146"/>
    <mergeCell ref="Y146:Z146"/>
    <mergeCell ref="Q142:S142"/>
    <mergeCell ref="W134:X134"/>
    <mergeCell ref="Y134:Z134"/>
    <mergeCell ref="AC135:AD135"/>
    <mergeCell ref="AC133:AD133"/>
    <mergeCell ref="Q152:S152"/>
    <mergeCell ref="Q153:S153"/>
    <mergeCell ref="AC162:AD162"/>
    <mergeCell ref="Q161:S161"/>
    <mergeCell ref="T161:V161"/>
    <mergeCell ref="W161:X161"/>
    <mergeCell ref="Y161:Z161"/>
    <mergeCell ref="AC159:AD159"/>
    <mergeCell ref="Q156:S156"/>
    <mergeCell ref="T156:V156"/>
    <mergeCell ref="N81:P81"/>
    <mergeCell ref="Q81:S81"/>
    <mergeCell ref="Q157:S157"/>
    <mergeCell ref="Y154:Z154"/>
    <mergeCell ref="AC137:AD137"/>
    <mergeCell ref="T138:V138"/>
    <mergeCell ref="W138:X138"/>
    <mergeCell ref="Y138:Z138"/>
    <mergeCell ref="AA138:AB138"/>
    <mergeCell ref="Q146:S146"/>
    <mergeCell ref="W132:X132"/>
    <mergeCell ref="Y132:Z132"/>
    <mergeCell ref="B127:J127"/>
    <mergeCell ref="T126:V126"/>
    <mergeCell ref="W126:X126"/>
    <mergeCell ref="T75:V75"/>
    <mergeCell ref="N113:P113"/>
    <mergeCell ref="Q113:S113"/>
    <mergeCell ref="B81:J81"/>
    <mergeCell ref="K81:M81"/>
    <mergeCell ref="T81:V81"/>
    <mergeCell ref="W81:X81"/>
    <mergeCell ref="T128:V128"/>
    <mergeCell ref="W135:X135"/>
    <mergeCell ref="Y135:Z135"/>
    <mergeCell ref="AA135:AB135"/>
    <mergeCell ref="W131:X131"/>
    <mergeCell ref="Y131:Z131"/>
    <mergeCell ref="W128:X128"/>
    <mergeCell ref="W129:X129"/>
    <mergeCell ref="T112:V112"/>
    <mergeCell ref="W130:X130"/>
    <mergeCell ref="Y130:Z130"/>
    <mergeCell ref="AA130:AB130"/>
    <mergeCell ref="T119:V119"/>
    <mergeCell ref="W119:X119"/>
    <mergeCell ref="Y121:Z121"/>
    <mergeCell ref="AA121:AB121"/>
    <mergeCell ref="Y81:Z81"/>
    <mergeCell ref="AA81:AB81"/>
    <mergeCell ref="AC81:AD81"/>
    <mergeCell ref="W98:X98"/>
    <mergeCell ref="Y98:Z98"/>
    <mergeCell ref="AA98:AB98"/>
    <mergeCell ref="Y85:Z85"/>
    <mergeCell ref="AA85:AB85"/>
    <mergeCell ref="AC85:AD85"/>
    <mergeCell ref="W84:X84"/>
    <mergeCell ref="B85:J85"/>
    <mergeCell ref="K85:M85"/>
    <mergeCell ref="T99:V99"/>
    <mergeCell ref="W99:X99"/>
    <mergeCell ref="W85:X85"/>
    <mergeCell ref="W87:X87"/>
    <mergeCell ref="W95:X95"/>
    <mergeCell ref="B93:J93"/>
    <mergeCell ref="W91:X91"/>
    <mergeCell ref="K86:M86"/>
    <mergeCell ref="T95:V95"/>
    <mergeCell ref="Y84:Z84"/>
    <mergeCell ref="AC84:AD84"/>
    <mergeCell ref="K84:M84"/>
    <mergeCell ref="N84:P84"/>
    <mergeCell ref="B82:J82"/>
    <mergeCell ref="K82:M82"/>
    <mergeCell ref="N82:P82"/>
    <mergeCell ref="Q85:S85"/>
    <mergeCell ref="N85:P85"/>
    <mergeCell ref="N120:P120"/>
    <mergeCell ref="Q120:S120"/>
    <mergeCell ref="T120:V120"/>
    <mergeCell ref="Y87:Z87"/>
    <mergeCell ref="AA87:AB87"/>
    <mergeCell ref="B98:J98"/>
    <mergeCell ref="K98:M98"/>
    <mergeCell ref="N98:P98"/>
    <mergeCell ref="Q98:S98"/>
    <mergeCell ref="T98:V98"/>
    <mergeCell ref="AA95:AB95"/>
    <mergeCell ref="B99:J99"/>
    <mergeCell ref="B100:J100"/>
    <mergeCell ref="B95:J95"/>
    <mergeCell ref="K95:M95"/>
    <mergeCell ref="K99:M99"/>
    <mergeCell ref="N99:P99"/>
    <mergeCell ref="AA100:AB100"/>
    <mergeCell ref="K96:M96"/>
    <mergeCell ref="N95:P95"/>
    <mergeCell ref="B101:J101"/>
    <mergeCell ref="T114:V114"/>
    <mergeCell ref="W114:X114"/>
    <mergeCell ref="Y114:Z114"/>
    <mergeCell ref="Y107:Z107"/>
    <mergeCell ref="Y110:Z110"/>
    <mergeCell ref="B103:J103"/>
    <mergeCell ref="N101:P101"/>
    <mergeCell ref="K107:M107"/>
    <mergeCell ref="B111:J111"/>
    <mergeCell ref="T115:V115"/>
    <mergeCell ref="W115:X115"/>
    <mergeCell ref="T116:V116"/>
    <mergeCell ref="T108:V108"/>
    <mergeCell ref="T110:V110"/>
    <mergeCell ref="T111:V111"/>
    <mergeCell ref="W110:X110"/>
    <mergeCell ref="W108:X108"/>
    <mergeCell ref="W113:X113"/>
    <mergeCell ref="T113:V113"/>
    <mergeCell ref="B92:J92"/>
    <mergeCell ref="K92:M92"/>
    <mergeCell ref="N92:P92"/>
    <mergeCell ref="Q92:S92"/>
    <mergeCell ref="T92:V92"/>
    <mergeCell ref="W92:X92"/>
    <mergeCell ref="B94:J94"/>
    <mergeCell ref="K94:M94"/>
    <mergeCell ref="N94:P94"/>
    <mergeCell ref="Q94:S94"/>
    <mergeCell ref="T94:V94"/>
    <mergeCell ref="AC93:AD93"/>
    <mergeCell ref="K93:M93"/>
    <mergeCell ref="N93:P93"/>
    <mergeCell ref="N86:P86"/>
    <mergeCell ref="Q86:S86"/>
    <mergeCell ref="T86:V86"/>
    <mergeCell ref="W86:X86"/>
    <mergeCell ref="AA92:AB92"/>
    <mergeCell ref="AC92:AD92"/>
    <mergeCell ref="Y91:Z91"/>
    <mergeCell ref="AA91:AB91"/>
    <mergeCell ref="AC91:AD91"/>
    <mergeCell ref="Y92:Z92"/>
    <mergeCell ref="AA86:AB86"/>
    <mergeCell ref="W101:X101"/>
    <mergeCell ref="Q82:S82"/>
    <mergeCell ref="W82:X82"/>
    <mergeCell ref="Y82:Z82"/>
    <mergeCell ref="AA82:AB82"/>
    <mergeCell ref="Q84:S84"/>
    <mergeCell ref="T84:V84"/>
    <mergeCell ref="T85:V85"/>
    <mergeCell ref="Y95:Z95"/>
    <mergeCell ref="AC98:AD98"/>
    <mergeCell ref="W89:X89"/>
    <mergeCell ref="Y89:Z89"/>
    <mergeCell ref="AA89:AB89"/>
    <mergeCell ref="AC89:AD89"/>
    <mergeCell ref="W94:X94"/>
    <mergeCell ref="AC94:AD94"/>
    <mergeCell ref="AC95:AD95"/>
    <mergeCell ref="Y93:Z93"/>
    <mergeCell ref="AA93:AB93"/>
    <mergeCell ref="K88:M88"/>
    <mergeCell ref="N88:P88"/>
    <mergeCell ref="Q88:S88"/>
    <mergeCell ref="T88:V88"/>
    <mergeCell ref="W88:X88"/>
    <mergeCell ref="N87:P87"/>
    <mergeCell ref="B77:J77"/>
    <mergeCell ref="M56:N56"/>
    <mergeCell ref="O57:P57"/>
    <mergeCell ref="S56:T56"/>
    <mergeCell ref="Q56:R56"/>
    <mergeCell ref="C57:D57"/>
    <mergeCell ref="E57:F57"/>
    <mergeCell ref="M57:N57"/>
    <mergeCell ref="G57:H57"/>
    <mergeCell ref="Q57:R57"/>
    <mergeCell ref="C56:D56"/>
    <mergeCell ref="E56:F56"/>
    <mergeCell ref="G56:H56"/>
    <mergeCell ref="AA62:AB63"/>
    <mergeCell ref="U56:Y56"/>
    <mergeCell ref="K56:L56"/>
    <mergeCell ref="O56:P56"/>
    <mergeCell ref="Z56:AE56"/>
    <mergeCell ref="T66:V66"/>
    <mergeCell ref="T65:V65"/>
    <mergeCell ref="Q65:S65"/>
    <mergeCell ref="Q66:S66"/>
    <mergeCell ref="AC62:AD63"/>
    <mergeCell ref="AC77:AD77"/>
    <mergeCell ref="AA71:AB71"/>
    <mergeCell ref="AC71:AD71"/>
    <mergeCell ref="AA73:AB73"/>
    <mergeCell ref="Y73:Z73"/>
    <mergeCell ref="AC72:AD72"/>
    <mergeCell ref="AC76:AD76"/>
    <mergeCell ref="K77:M77"/>
    <mergeCell ref="N77:P77"/>
    <mergeCell ref="Q77:S77"/>
    <mergeCell ref="T77:V77"/>
    <mergeCell ref="Y74:Z74"/>
    <mergeCell ref="AA65:AB65"/>
    <mergeCell ref="AA77:AB77"/>
    <mergeCell ref="A36:F36"/>
    <mergeCell ref="N34:O34"/>
    <mergeCell ref="P35:Q35"/>
    <mergeCell ref="W77:X77"/>
    <mergeCell ref="Y77:Z77"/>
    <mergeCell ref="H28:K28"/>
    <mergeCell ref="N30:O30"/>
    <mergeCell ref="N31:O31"/>
    <mergeCell ref="N32:O32"/>
    <mergeCell ref="N33:O33"/>
    <mergeCell ref="A27:A29"/>
    <mergeCell ref="B30:F30"/>
    <mergeCell ref="T35:U35"/>
    <mergeCell ref="T36:U36"/>
    <mergeCell ref="R35:S35"/>
    <mergeCell ref="T29:U29"/>
    <mergeCell ref="R36:S36"/>
    <mergeCell ref="P30:Q30"/>
    <mergeCell ref="R30:S30"/>
    <mergeCell ref="A35:F35"/>
    <mergeCell ref="T102:V102"/>
    <mergeCell ref="Q71:S71"/>
    <mergeCell ref="L33:M33"/>
    <mergeCell ref="L36:M36"/>
    <mergeCell ref="B33:F33"/>
    <mergeCell ref="A15:A17"/>
    <mergeCell ref="B15:B17"/>
    <mergeCell ref="G19:P21"/>
    <mergeCell ref="P33:Q33"/>
    <mergeCell ref="P34:Q34"/>
    <mergeCell ref="K74:M74"/>
    <mergeCell ref="B71:J71"/>
    <mergeCell ref="B73:J73"/>
    <mergeCell ref="N72:P72"/>
    <mergeCell ref="A38:A40"/>
    <mergeCell ref="Q121:S121"/>
    <mergeCell ref="P43:Q43"/>
    <mergeCell ref="R43:S43"/>
    <mergeCell ref="P46:Q46"/>
    <mergeCell ref="P40:Q40"/>
    <mergeCell ref="A47:F47"/>
    <mergeCell ref="B45:F45"/>
    <mergeCell ref="A51:A53"/>
    <mergeCell ref="C51:D53"/>
    <mergeCell ref="B51:B53"/>
    <mergeCell ref="B41:F41"/>
    <mergeCell ref="B42:F42"/>
    <mergeCell ref="B43:F43"/>
    <mergeCell ref="B44:F44"/>
    <mergeCell ref="B84:J84"/>
    <mergeCell ref="Q80:S80"/>
    <mergeCell ref="G55:H55"/>
    <mergeCell ref="I55:J55"/>
    <mergeCell ref="I56:J56"/>
    <mergeCell ref="M55:N55"/>
    <mergeCell ref="S55:T55"/>
    <mergeCell ref="N73:P73"/>
    <mergeCell ref="E58:F58"/>
    <mergeCell ref="N79:P79"/>
    <mergeCell ref="B168:J168"/>
    <mergeCell ref="W168:X168"/>
    <mergeCell ref="Y168:Z168"/>
    <mergeCell ref="B102:J102"/>
    <mergeCell ref="B142:J142"/>
    <mergeCell ref="K142:M142"/>
    <mergeCell ref="N142:P142"/>
    <mergeCell ref="N148:P148"/>
    <mergeCell ref="T121:V121"/>
    <mergeCell ref="W121:X121"/>
    <mergeCell ref="AA168:AB168"/>
    <mergeCell ref="AC168:AD168"/>
    <mergeCell ref="T168:V168"/>
    <mergeCell ref="B38:F40"/>
    <mergeCell ref="I57:J57"/>
    <mergeCell ref="K57:L57"/>
    <mergeCell ref="Z57:AE57"/>
    <mergeCell ref="U54:Y54"/>
    <mergeCell ref="U55:Y55"/>
    <mergeCell ref="B60:AE60"/>
    <mergeCell ref="A61:A63"/>
    <mergeCell ref="B61:J63"/>
    <mergeCell ref="W62:X63"/>
    <mergeCell ref="A58:D58"/>
    <mergeCell ref="I58:J58"/>
    <mergeCell ref="B37:F37"/>
    <mergeCell ref="L38:U38"/>
    <mergeCell ref="L39:M40"/>
    <mergeCell ref="A46:F46"/>
    <mergeCell ref="G38:K38"/>
    <mergeCell ref="Z55:AE55"/>
    <mergeCell ref="K55:L55"/>
    <mergeCell ref="O55:P55"/>
    <mergeCell ref="Z54:AE54"/>
    <mergeCell ref="K54:L54"/>
    <mergeCell ref="K52:L53"/>
    <mergeCell ref="O52:T52"/>
    <mergeCell ref="O54:P54"/>
    <mergeCell ref="U51:Y53"/>
    <mergeCell ref="M54:N54"/>
    <mergeCell ref="C55:D55"/>
    <mergeCell ref="I54:J54"/>
    <mergeCell ref="E55:F55"/>
    <mergeCell ref="E51:F53"/>
    <mergeCell ref="C54:D54"/>
    <mergeCell ref="Q55:R55"/>
    <mergeCell ref="E54:F54"/>
    <mergeCell ref="G54:H54"/>
    <mergeCell ref="Z17:AA17"/>
    <mergeCell ref="V16:W17"/>
    <mergeCell ref="X18:Y18"/>
    <mergeCell ref="B31:F31"/>
    <mergeCell ref="B34:F34"/>
    <mergeCell ref="B27:F29"/>
    <mergeCell ref="B32:F32"/>
    <mergeCell ref="V20:W20"/>
    <mergeCell ref="Q21:U21"/>
    <mergeCell ref="V21:W21"/>
    <mergeCell ref="N35:O35"/>
    <mergeCell ref="T34:U34"/>
    <mergeCell ref="L34:M34"/>
    <mergeCell ref="L35:M35"/>
    <mergeCell ref="T40:U40"/>
    <mergeCell ref="AB18:AC18"/>
    <mergeCell ref="Z18:AA18"/>
    <mergeCell ref="X39:AE39"/>
    <mergeCell ref="V18:W18"/>
    <mergeCell ref="Q18:U18"/>
    <mergeCell ref="Q54:R54"/>
    <mergeCell ref="W10:Y10"/>
    <mergeCell ref="W11:Y11"/>
    <mergeCell ref="S54:T54"/>
    <mergeCell ref="R29:S29"/>
    <mergeCell ref="T33:U33"/>
    <mergeCell ref="T31:U31"/>
    <mergeCell ref="X40:Y40"/>
    <mergeCell ref="R41:S41"/>
    <mergeCell ref="R46:S46"/>
    <mergeCell ref="I51:J53"/>
    <mergeCell ref="N42:O42"/>
    <mergeCell ref="P42:Q42"/>
    <mergeCell ref="O53:P53"/>
    <mergeCell ref="N43:O43"/>
    <mergeCell ref="M52:N53"/>
    <mergeCell ref="L43:M43"/>
    <mergeCell ref="L46:M46"/>
    <mergeCell ref="L47:M47"/>
    <mergeCell ref="N47:O47"/>
    <mergeCell ref="L31:M31"/>
    <mergeCell ref="L42:M42"/>
    <mergeCell ref="P41:Q41"/>
    <mergeCell ref="R40:S40"/>
    <mergeCell ref="N36:O36"/>
    <mergeCell ref="P32:Q32"/>
    <mergeCell ref="L32:M32"/>
    <mergeCell ref="P31:Q31"/>
    <mergeCell ref="N39:U39"/>
    <mergeCell ref="N40:O40"/>
    <mergeCell ref="AD20:AE20"/>
    <mergeCell ref="AB22:AC22"/>
    <mergeCell ref="AD22:AE22"/>
    <mergeCell ref="AB20:AC20"/>
    <mergeCell ref="AB40:AC40"/>
    <mergeCell ref="Z40:AA40"/>
    <mergeCell ref="Z36:AA36"/>
    <mergeCell ref="AB36:AC36"/>
    <mergeCell ref="V38:AE38"/>
    <mergeCell ref="AB35:AC35"/>
    <mergeCell ref="L27:U27"/>
    <mergeCell ref="N28:U28"/>
    <mergeCell ref="L28:M29"/>
    <mergeCell ref="P29:Q29"/>
    <mergeCell ref="Q9:S9"/>
    <mergeCell ref="Z51:AE53"/>
    <mergeCell ref="Q53:R53"/>
    <mergeCell ref="Z11:AB11"/>
    <mergeCell ref="Z10:AB10"/>
    <mergeCell ref="AB17:AC17"/>
    <mergeCell ref="X21:Y21"/>
    <mergeCell ref="X20:Y20"/>
    <mergeCell ref="Q20:U20"/>
    <mergeCell ref="G22:P22"/>
    <mergeCell ref="Q22:U22"/>
    <mergeCell ref="V22:W22"/>
    <mergeCell ref="A4:A5"/>
    <mergeCell ref="B4:B5"/>
    <mergeCell ref="C4:F5"/>
    <mergeCell ref="G4:L5"/>
    <mergeCell ref="G7:L8"/>
    <mergeCell ref="A23:U23"/>
    <mergeCell ref="Q10:S10"/>
    <mergeCell ref="Q11:S11"/>
    <mergeCell ref="T11:V11"/>
    <mergeCell ref="A11:L11"/>
    <mergeCell ref="X17:Y17"/>
    <mergeCell ref="Q15:U17"/>
    <mergeCell ref="V15:AE15"/>
    <mergeCell ref="G51:H53"/>
    <mergeCell ref="G39:G40"/>
    <mergeCell ref="H39:K39"/>
    <mergeCell ref="G27:K27"/>
    <mergeCell ref="Z22:AA22"/>
    <mergeCell ref="X22:Y22"/>
    <mergeCell ref="Z19:AA19"/>
    <mergeCell ref="Z9:AB9"/>
    <mergeCell ref="AC7:AE7"/>
    <mergeCell ref="Z8:AB8"/>
    <mergeCell ref="AC8:AE8"/>
    <mergeCell ref="T10:V10"/>
    <mergeCell ref="X16:AE16"/>
    <mergeCell ref="AC10:AE10"/>
    <mergeCell ref="AC11:AE11"/>
    <mergeCell ref="Q6:S6"/>
    <mergeCell ref="Z6:AB6"/>
    <mergeCell ref="W6:Y6"/>
    <mergeCell ref="T6:V6"/>
    <mergeCell ref="W9:Y9"/>
    <mergeCell ref="T9:V9"/>
    <mergeCell ref="T7:V7"/>
    <mergeCell ref="W7:Y7"/>
    <mergeCell ref="T8:V8"/>
    <mergeCell ref="W8:Y8"/>
    <mergeCell ref="G6:L6"/>
    <mergeCell ref="M7:P7"/>
    <mergeCell ref="M6:P6"/>
    <mergeCell ref="M9:P9"/>
    <mergeCell ref="C6:F6"/>
    <mergeCell ref="G9:L9"/>
    <mergeCell ref="C8:F8"/>
    <mergeCell ref="Q4:AE4"/>
    <mergeCell ref="T5:V5"/>
    <mergeCell ref="W5:Y5"/>
    <mergeCell ref="Z5:AB5"/>
    <mergeCell ref="Q5:S5"/>
    <mergeCell ref="M4:P5"/>
    <mergeCell ref="AC5:AE5"/>
    <mergeCell ref="C22:F22"/>
    <mergeCell ref="C15:F17"/>
    <mergeCell ref="G15:P17"/>
    <mergeCell ref="C18:F18"/>
    <mergeCell ref="G18:P18"/>
    <mergeCell ref="M8:P8"/>
    <mergeCell ref="C9:F9"/>
    <mergeCell ref="M11:P11"/>
    <mergeCell ref="C21:F21"/>
    <mergeCell ref="AD18:AE18"/>
    <mergeCell ref="AD17:AE17"/>
    <mergeCell ref="C10:F10"/>
    <mergeCell ref="G10:L10"/>
    <mergeCell ref="M10:P10"/>
    <mergeCell ref="Q7:S7"/>
    <mergeCell ref="Q8:S8"/>
    <mergeCell ref="C7:F7"/>
    <mergeCell ref="Z7:AB7"/>
    <mergeCell ref="AC9:AE9"/>
    <mergeCell ref="AD19:AE19"/>
    <mergeCell ref="AB19:AC19"/>
    <mergeCell ref="AB21:AC21"/>
    <mergeCell ref="C19:F19"/>
    <mergeCell ref="Q19:U19"/>
    <mergeCell ref="V19:W19"/>
    <mergeCell ref="X19:Y19"/>
    <mergeCell ref="C20:F20"/>
    <mergeCell ref="Z20:AA20"/>
    <mergeCell ref="Z21:AA21"/>
    <mergeCell ref="AB1:AE1"/>
    <mergeCell ref="X23:Y23"/>
    <mergeCell ref="V23:W23"/>
    <mergeCell ref="X32:Y32"/>
    <mergeCell ref="Z32:AA32"/>
    <mergeCell ref="AB32:AC32"/>
    <mergeCell ref="V27:AE27"/>
    <mergeCell ref="AB23:AC23"/>
    <mergeCell ref="Z23:AA23"/>
    <mergeCell ref="AC6:AE6"/>
    <mergeCell ref="AD29:AE29"/>
    <mergeCell ref="AD30:AE30"/>
    <mergeCell ref="G28:G29"/>
    <mergeCell ref="L30:M30"/>
    <mergeCell ref="V30:W30"/>
    <mergeCell ref="X30:Y30"/>
    <mergeCell ref="N29:O29"/>
    <mergeCell ref="T30:U30"/>
    <mergeCell ref="V28:W29"/>
    <mergeCell ref="R31:S31"/>
    <mergeCell ref="V31:W31"/>
    <mergeCell ref="X31:Y31"/>
    <mergeCell ref="Z31:AA31"/>
    <mergeCell ref="AB31:AC31"/>
    <mergeCell ref="Z30:AA30"/>
    <mergeCell ref="AB30:AC30"/>
    <mergeCell ref="AD33:AE33"/>
    <mergeCell ref="V32:W32"/>
    <mergeCell ref="AD41:AE41"/>
    <mergeCell ref="AD31:AE31"/>
    <mergeCell ref="AD23:AE23"/>
    <mergeCell ref="AD21:AE21"/>
    <mergeCell ref="X28:AE28"/>
    <mergeCell ref="X29:Y29"/>
    <mergeCell ref="Z29:AA29"/>
    <mergeCell ref="AB29:AC29"/>
    <mergeCell ref="T32:U32"/>
    <mergeCell ref="S53:T53"/>
    <mergeCell ref="Q58:R58"/>
    <mergeCell ref="X33:Y33"/>
    <mergeCell ref="Z33:AA33"/>
    <mergeCell ref="AB33:AC33"/>
    <mergeCell ref="P36:Q36"/>
    <mergeCell ref="R32:S32"/>
    <mergeCell ref="R33:S33"/>
    <mergeCell ref="V33:W33"/>
    <mergeCell ref="V41:W41"/>
    <mergeCell ref="X41:Y41"/>
    <mergeCell ref="Z41:AA41"/>
    <mergeCell ref="Z35:AA35"/>
    <mergeCell ref="X36:Y36"/>
    <mergeCell ref="AD40:AE40"/>
    <mergeCell ref="AD35:AE35"/>
    <mergeCell ref="U57:Y57"/>
    <mergeCell ref="S57:T57"/>
    <mergeCell ref="V34:W34"/>
    <mergeCell ref="T45:U45"/>
    <mergeCell ref="V45:W45"/>
    <mergeCell ref="T46:U46"/>
    <mergeCell ref="V46:W46"/>
    <mergeCell ref="AD36:AE36"/>
    <mergeCell ref="V36:W36"/>
    <mergeCell ref="AD32:AE32"/>
    <mergeCell ref="S58:T58"/>
    <mergeCell ref="X34:Y34"/>
    <mergeCell ref="V172:Z172"/>
    <mergeCell ref="T87:V87"/>
    <mergeCell ref="T82:V82"/>
    <mergeCell ref="Q100:S100"/>
    <mergeCell ref="Q143:S143"/>
    <mergeCell ref="Q139:S139"/>
    <mergeCell ref="Q138:S138"/>
    <mergeCell ref="B171:F171"/>
    <mergeCell ref="L171:P171"/>
    <mergeCell ref="V171:Z171"/>
    <mergeCell ref="Z58:AE58"/>
    <mergeCell ref="B72:J72"/>
    <mergeCell ref="B74:J74"/>
    <mergeCell ref="N74:P74"/>
    <mergeCell ref="K71:M71"/>
    <mergeCell ref="K73:M73"/>
    <mergeCell ref="N71:P71"/>
    <mergeCell ref="M58:N58"/>
    <mergeCell ref="O58:P58"/>
    <mergeCell ref="W61:AD61"/>
    <mergeCell ref="N61:P63"/>
    <mergeCell ref="Q61:S63"/>
    <mergeCell ref="Y66:Z66"/>
    <mergeCell ref="AC66:AD66"/>
    <mergeCell ref="Y65:Z65"/>
    <mergeCell ref="AC65:AD65"/>
    <mergeCell ref="K146:M146"/>
    <mergeCell ref="K100:M100"/>
    <mergeCell ref="N100:P100"/>
    <mergeCell ref="K103:M103"/>
    <mergeCell ref="K139:M139"/>
    <mergeCell ref="N141:P141"/>
    <mergeCell ref="N139:P139"/>
    <mergeCell ref="N146:P146"/>
    <mergeCell ref="K135:M135"/>
    <mergeCell ref="K101:M101"/>
    <mergeCell ref="B146:J146"/>
    <mergeCell ref="Q149:S149"/>
    <mergeCell ref="N136:P136"/>
    <mergeCell ref="Q136:S136"/>
    <mergeCell ref="B136:J136"/>
    <mergeCell ref="Q141:S141"/>
    <mergeCell ref="B141:J141"/>
    <mergeCell ref="B143:J143"/>
    <mergeCell ref="K143:M143"/>
    <mergeCell ref="N143:P143"/>
    <mergeCell ref="B147:J147"/>
    <mergeCell ref="K147:M147"/>
    <mergeCell ref="N147:P147"/>
    <mergeCell ref="Q147:S147"/>
    <mergeCell ref="B126:J126"/>
    <mergeCell ref="K126:M126"/>
    <mergeCell ref="N126:P126"/>
    <mergeCell ref="Q126:S126"/>
    <mergeCell ref="B133:J133"/>
    <mergeCell ref="K127:M127"/>
    <mergeCell ref="B65:J65"/>
    <mergeCell ref="B66:J66"/>
    <mergeCell ref="B68:J68"/>
    <mergeCell ref="B70:J70"/>
    <mergeCell ref="B117:J117"/>
    <mergeCell ref="K117:M117"/>
    <mergeCell ref="K65:M65"/>
    <mergeCell ref="K78:M78"/>
    <mergeCell ref="K87:M87"/>
    <mergeCell ref="K70:M70"/>
    <mergeCell ref="B139:J139"/>
    <mergeCell ref="Q68:S68"/>
    <mergeCell ref="K67:M67"/>
    <mergeCell ref="N67:P67"/>
    <mergeCell ref="Q67:S67"/>
    <mergeCell ref="K83:M83"/>
    <mergeCell ref="N83:P83"/>
    <mergeCell ref="Q83:S83"/>
    <mergeCell ref="B78:J78"/>
    <mergeCell ref="K136:M136"/>
    <mergeCell ref="N78:P78"/>
    <mergeCell ref="B67:J67"/>
    <mergeCell ref="B83:J83"/>
    <mergeCell ref="K80:M80"/>
    <mergeCell ref="K79:M79"/>
    <mergeCell ref="N80:P80"/>
    <mergeCell ref="N75:P75"/>
    <mergeCell ref="K75:M75"/>
    <mergeCell ref="B79:J79"/>
    <mergeCell ref="K68:M68"/>
    <mergeCell ref="B64:J64"/>
    <mergeCell ref="B104:J104"/>
    <mergeCell ref="B105:J105"/>
    <mergeCell ref="B106:J106"/>
    <mergeCell ref="B86:J86"/>
    <mergeCell ref="B87:J87"/>
    <mergeCell ref="B88:J88"/>
    <mergeCell ref="B89:J89"/>
    <mergeCell ref="B96:J96"/>
    <mergeCell ref="B97:J97"/>
    <mergeCell ref="Q87:S87"/>
    <mergeCell ref="T72:V72"/>
    <mergeCell ref="T74:V74"/>
    <mergeCell ref="T67:V67"/>
    <mergeCell ref="T69:V69"/>
    <mergeCell ref="T68:V68"/>
    <mergeCell ref="T73:V73"/>
    <mergeCell ref="T70:V70"/>
    <mergeCell ref="T80:V80"/>
    <mergeCell ref="Q79:S79"/>
    <mergeCell ref="T71:V71"/>
    <mergeCell ref="T89:V89"/>
    <mergeCell ref="T91:V91"/>
    <mergeCell ref="T106:V106"/>
    <mergeCell ref="Q78:S78"/>
    <mergeCell ref="Q99:S99"/>
    <mergeCell ref="T104:V104"/>
    <mergeCell ref="Q101:S101"/>
    <mergeCell ref="Q103:S103"/>
    <mergeCell ref="Q104:S104"/>
    <mergeCell ref="B91:J91"/>
    <mergeCell ref="B112:J112"/>
    <mergeCell ref="B128:J128"/>
    <mergeCell ref="B75:J75"/>
    <mergeCell ref="B122:J122"/>
    <mergeCell ref="B120:J120"/>
    <mergeCell ref="B90:J90"/>
    <mergeCell ref="B113:J113"/>
    <mergeCell ref="B114:J114"/>
    <mergeCell ref="B115:J115"/>
    <mergeCell ref="B69:J69"/>
    <mergeCell ref="K69:M69"/>
    <mergeCell ref="N69:P69"/>
    <mergeCell ref="Q69:S69"/>
    <mergeCell ref="K89:M89"/>
    <mergeCell ref="N89:P89"/>
    <mergeCell ref="Q89:S89"/>
    <mergeCell ref="Q72:S72"/>
    <mergeCell ref="Q74:S74"/>
    <mergeCell ref="Q73:S73"/>
    <mergeCell ref="N91:P91"/>
    <mergeCell ref="Q91:S91"/>
    <mergeCell ref="N90:P90"/>
    <mergeCell ref="Q90:S90"/>
    <mergeCell ref="K90:M90"/>
    <mergeCell ref="Q102:S102"/>
    <mergeCell ref="Q95:S95"/>
    <mergeCell ref="B80:J80"/>
    <mergeCell ref="K110:M110"/>
    <mergeCell ref="G58:H58"/>
    <mergeCell ref="K66:M66"/>
    <mergeCell ref="K108:M108"/>
    <mergeCell ref="K109:M109"/>
    <mergeCell ref="K61:M63"/>
    <mergeCell ref="K64:M64"/>
    <mergeCell ref="K58:L58"/>
    <mergeCell ref="K91:M91"/>
    <mergeCell ref="AC100:AD100"/>
    <mergeCell ref="T100:V100"/>
    <mergeCell ref="K169:M169"/>
    <mergeCell ref="N65:P65"/>
    <mergeCell ref="N66:P66"/>
    <mergeCell ref="N68:P68"/>
    <mergeCell ref="N70:P70"/>
    <mergeCell ref="K122:M122"/>
    <mergeCell ref="K72:M72"/>
    <mergeCell ref="N169:P169"/>
    <mergeCell ref="N102:P102"/>
    <mergeCell ref="K129:M129"/>
    <mergeCell ref="N114:P114"/>
    <mergeCell ref="N116:P116"/>
    <mergeCell ref="N115:P115"/>
    <mergeCell ref="N122:P122"/>
    <mergeCell ref="K112:M112"/>
    <mergeCell ref="K111:M111"/>
    <mergeCell ref="K128:M128"/>
    <mergeCell ref="K120:M120"/>
    <mergeCell ref="Y72:Z72"/>
    <mergeCell ref="W68:X68"/>
    <mergeCell ref="W70:X70"/>
    <mergeCell ref="W72:X72"/>
    <mergeCell ref="N132:P132"/>
    <mergeCell ref="N127:P127"/>
    <mergeCell ref="Q127:S127"/>
    <mergeCell ref="N106:P106"/>
    <mergeCell ref="Q106:S106"/>
    <mergeCell ref="N117:P117"/>
    <mergeCell ref="W67:X67"/>
    <mergeCell ref="AC68:AD68"/>
    <mergeCell ref="AC70:AD70"/>
    <mergeCell ref="W74:X74"/>
    <mergeCell ref="Y70:Z70"/>
    <mergeCell ref="AC74:AD74"/>
    <mergeCell ref="AC73:AD73"/>
    <mergeCell ref="AA70:AB70"/>
    <mergeCell ref="AA72:AB72"/>
    <mergeCell ref="AA74:AB74"/>
    <mergeCell ref="Y169:Z169"/>
    <mergeCell ref="Y122:Z122"/>
    <mergeCell ref="Y67:Z67"/>
    <mergeCell ref="AA67:AB67"/>
    <mergeCell ref="AC67:AD67"/>
    <mergeCell ref="W69:X69"/>
    <mergeCell ref="Y69:Z69"/>
    <mergeCell ref="AA69:AB69"/>
    <mergeCell ref="AC69:AD69"/>
    <mergeCell ref="Y68:Z68"/>
    <mergeCell ref="AC169:AD169"/>
    <mergeCell ref="AC109:AD109"/>
    <mergeCell ref="AC131:AD131"/>
    <mergeCell ref="AC111:AD111"/>
    <mergeCell ref="AC112:AD112"/>
    <mergeCell ref="AC149:AD149"/>
    <mergeCell ref="AC150:AD150"/>
    <mergeCell ref="AC118:AD118"/>
    <mergeCell ref="AC120:AD120"/>
    <mergeCell ref="AC121:AD121"/>
    <mergeCell ref="AA150:AB150"/>
    <mergeCell ref="AA131:AB131"/>
    <mergeCell ref="AA132:AB132"/>
    <mergeCell ref="AA139:AB139"/>
    <mergeCell ref="AA134:AB134"/>
    <mergeCell ref="AA124:AB124"/>
    <mergeCell ref="AA148:AB148"/>
    <mergeCell ref="Y126:Z126"/>
    <mergeCell ref="AA126:AB126"/>
    <mergeCell ref="AC126:AD126"/>
    <mergeCell ref="AA141:AB141"/>
    <mergeCell ref="AC141:AD141"/>
    <mergeCell ref="Y128:Z128"/>
    <mergeCell ref="AA128:AB128"/>
    <mergeCell ref="Y129:Z129"/>
    <mergeCell ref="AA129:AB129"/>
    <mergeCell ref="AC129:AD129"/>
    <mergeCell ref="AA169:AB169"/>
    <mergeCell ref="Y71:Z71"/>
    <mergeCell ref="Y102:Z102"/>
    <mergeCell ref="AA102:AB102"/>
    <mergeCell ref="AA110:AB110"/>
    <mergeCell ref="Y113:Z113"/>
    <mergeCell ref="AA113:AB113"/>
    <mergeCell ref="AA122:AB122"/>
    <mergeCell ref="AA76:AB76"/>
    <mergeCell ref="AA117:AB117"/>
    <mergeCell ref="AC138:AD138"/>
    <mergeCell ref="AC157:AD157"/>
    <mergeCell ref="AC160:AD160"/>
    <mergeCell ref="AC122:AD122"/>
    <mergeCell ref="AC132:AD132"/>
    <mergeCell ref="AC113:AD113"/>
    <mergeCell ref="AC127:AD127"/>
    <mergeCell ref="AC117:AD117"/>
    <mergeCell ref="AC128:AD128"/>
    <mergeCell ref="AC136:AD136"/>
    <mergeCell ref="Z34:AA34"/>
    <mergeCell ref="AB34:AC34"/>
    <mergeCell ref="AD34:AE34"/>
    <mergeCell ref="V35:W35"/>
    <mergeCell ref="X35:Y35"/>
    <mergeCell ref="AC102:AD102"/>
    <mergeCell ref="AA68:AB68"/>
    <mergeCell ref="W65:X65"/>
    <mergeCell ref="W66:X66"/>
    <mergeCell ref="W73:X73"/>
    <mergeCell ref="R42:S42"/>
    <mergeCell ref="T42:U42"/>
    <mergeCell ref="V42:W42"/>
    <mergeCell ref="X42:Y42"/>
    <mergeCell ref="Y64:Z64"/>
    <mergeCell ref="X45:Y45"/>
    <mergeCell ref="X44:Y44"/>
    <mergeCell ref="Z44:AA44"/>
    <mergeCell ref="R45:S45"/>
    <mergeCell ref="U58:Y58"/>
    <mergeCell ref="AB41:AC41"/>
    <mergeCell ref="AD43:AE43"/>
    <mergeCell ref="T43:U43"/>
    <mergeCell ref="V43:W43"/>
    <mergeCell ref="X43:Y43"/>
    <mergeCell ref="Z43:AA43"/>
    <mergeCell ref="AB43:AC43"/>
    <mergeCell ref="T41:U41"/>
    <mergeCell ref="Z42:AA42"/>
    <mergeCell ref="AB42:AC42"/>
    <mergeCell ref="Z47:AA47"/>
    <mergeCell ref="AD45:AE45"/>
    <mergeCell ref="AD46:AE46"/>
    <mergeCell ref="AB47:AC47"/>
    <mergeCell ref="AD47:AE47"/>
    <mergeCell ref="AB46:AC46"/>
    <mergeCell ref="Z45:AA45"/>
    <mergeCell ref="AB45:AC45"/>
    <mergeCell ref="AD42:AE42"/>
    <mergeCell ref="R34:S34"/>
    <mergeCell ref="V39:W40"/>
    <mergeCell ref="K51:T51"/>
    <mergeCell ref="L41:M41"/>
    <mergeCell ref="N41:O41"/>
    <mergeCell ref="X46:Y46"/>
    <mergeCell ref="Z46:AA46"/>
    <mergeCell ref="AB44:AC44"/>
    <mergeCell ref="AD44:AE44"/>
    <mergeCell ref="AA64:AB64"/>
    <mergeCell ref="AC64:AD64"/>
    <mergeCell ref="Q64:S64"/>
    <mergeCell ref="T61:V63"/>
    <mergeCell ref="T64:V64"/>
    <mergeCell ref="Y62:Z63"/>
    <mergeCell ref="W64:X64"/>
    <mergeCell ref="N64:P64"/>
    <mergeCell ref="T44:U44"/>
    <mergeCell ref="V44:W44"/>
    <mergeCell ref="L44:M44"/>
    <mergeCell ref="N44:O44"/>
    <mergeCell ref="P44:Q44"/>
    <mergeCell ref="R44:S44"/>
    <mergeCell ref="L45:M45"/>
    <mergeCell ref="N45:O45"/>
    <mergeCell ref="P45:Q45"/>
    <mergeCell ref="E181:F181"/>
    <mergeCell ref="G181:I181"/>
    <mergeCell ref="W181:Y181"/>
    <mergeCell ref="E174:F174"/>
    <mergeCell ref="G174:I174"/>
    <mergeCell ref="L174:P174"/>
    <mergeCell ref="W174:Y174"/>
    <mergeCell ref="E175:F175"/>
    <mergeCell ref="G175:I175"/>
    <mergeCell ref="W175:Y175"/>
    <mergeCell ref="E177:F177"/>
    <mergeCell ref="G177:I177"/>
    <mergeCell ref="W177:Y177"/>
    <mergeCell ref="W180:AB180"/>
    <mergeCell ref="G178:I178"/>
    <mergeCell ref="L178:P178"/>
    <mergeCell ref="W178:Y178"/>
    <mergeCell ref="G180:I180"/>
    <mergeCell ref="B149:J149"/>
    <mergeCell ref="B150:J150"/>
    <mergeCell ref="P47:Q47"/>
    <mergeCell ref="R47:S47"/>
    <mergeCell ref="N46:O46"/>
    <mergeCell ref="AA66:AB66"/>
    <mergeCell ref="X47:Y47"/>
    <mergeCell ref="W71:X71"/>
    <mergeCell ref="T47:U47"/>
    <mergeCell ref="V47:W47"/>
    <mergeCell ref="B159:J159"/>
    <mergeCell ref="B164:J164"/>
    <mergeCell ref="K153:M153"/>
    <mergeCell ref="B130:J130"/>
    <mergeCell ref="B177:C177"/>
    <mergeCell ref="B180:C180"/>
    <mergeCell ref="B174:C174"/>
    <mergeCell ref="E178:F178"/>
    <mergeCell ref="E180:F180"/>
    <mergeCell ref="B148:J148"/>
    <mergeCell ref="B161:J161"/>
    <mergeCell ref="B151:J151"/>
    <mergeCell ref="B152:J152"/>
    <mergeCell ref="A169:J169"/>
    <mergeCell ref="K102:M102"/>
    <mergeCell ref="K131:M131"/>
    <mergeCell ref="K132:M132"/>
    <mergeCell ref="K133:M133"/>
    <mergeCell ref="K148:M148"/>
    <mergeCell ref="K149:M149"/>
    <mergeCell ref="B134:J134"/>
    <mergeCell ref="K134:M134"/>
    <mergeCell ref="B116:J116"/>
    <mergeCell ref="K116:M116"/>
    <mergeCell ref="B124:J124"/>
    <mergeCell ref="K124:M124"/>
    <mergeCell ref="B123:J123"/>
    <mergeCell ref="B129:J129"/>
    <mergeCell ref="B132:J132"/>
    <mergeCell ref="K130:M130"/>
    <mergeCell ref="T109:V109"/>
    <mergeCell ref="K113:M113"/>
    <mergeCell ref="K114:M114"/>
    <mergeCell ref="K115:M115"/>
    <mergeCell ref="K106:M106"/>
    <mergeCell ref="K164:M164"/>
    <mergeCell ref="K154:M154"/>
    <mergeCell ref="Q122:S122"/>
    <mergeCell ref="N150:P150"/>
    <mergeCell ref="Q117:S117"/>
    <mergeCell ref="Q151:S151"/>
    <mergeCell ref="B157:J157"/>
    <mergeCell ref="B158:J158"/>
    <mergeCell ref="Q112:S112"/>
    <mergeCell ref="Q107:S107"/>
    <mergeCell ref="N154:P154"/>
    <mergeCell ref="K151:M151"/>
    <mergeCell ref="N152:P152"/>
    <mergeCell ref="N153:P153"/>
    <mergeCell ref="Q108:S108"/>
    <mergeCell ref="B108:J108"/>
    <mergeCell ref="Q119:S119"/>
    <mergeCell ref="B76:J76"/>
    <mergeCell ref="K76:M76"/>
    <mergeCell ref="N76:P76"/>
    <mergeCell ref="Q75:S75"/>
    <mergeCell ref="Q109:S109"/>
    <mergeCell ref="Q114:S114"/>
    <mergeCell ref="Q115:S115"/>
    <mergeCell ref="Q116:S116"/>
    <mergeCell ref="B153:J153"/>
    <mergeCell ref="B154:J154"/>
    <mergeCell ref="N151:P151"/>
    <mergeCell ref="B155:J155"/>
    <mergeCell ref="K152:M152"/>
    <mergeCell ref="Q70:S70"/>
    <mergeCell ref="B121:J121"/>
    <mergeCell ref="B109:J109"/>
    <mergeCell ref="B110:J110"/>
    <mergeCell ref="B107:J107"/>
    <mergeCell ref="B156:J156"/>
    <mergeCell ref="Q110:S110"/>
    <mergeCell ref="Q111:S111"/>
    <mergeCell ref="B140:J140"/>
    <mergeCell ref="K140:M140"/>
    <mergeCell ref="N111:P111"/>
    <mergeCell ref="N112:P112"/>
    <mergeCell ref="B138:J138"/>
    <mergeCell ref="K138:M138"/>
    <mergeCell ref="N138:P138"/>
    <mergeCell ref="T122:V122"/>
    <mergeCell ref="N107:P107"/>
    <mergeCell ref="N108:P108"/>
    <mergeCell ref="N128:P128"/>
    <mergeCell ref="N129:P129"/>
    <mergeCell ref="N130:P130"/>
    <mergeCell ref="N109:P109"/>
    <mergeCell ref="N110:P110"/>
    <mergeCell ref="T118:V118"/>
    <mergeCell ref="Q128:S128"/>
    <mergeCell ref="N157:P157"/>
    <mergeCell ref="K157:M157"/>
    <mergeCell ref="K158:M158"/>
    <mergeCell ref="K159:M159"/>
    <mergeCell ref="K160:M160"/>
    <mergeCell ref="W169:X169"/>
    <mergeCell ref="T169:V169"/>
    <mergeCell ref="Q169:S169"/>
    <mergeCell ref="T167:V167"/>
    <mergeCell ref="W167:X167"/>
    <mergeCell ref="W112:X112"/>
    <mergeCell ref="Y112:Z112"/>
    <mergeCell ref="AA112:AB112"/>
    <mergeCell ref="Q118:S118"/>
    <mergeCell ref="B160:J160"/>
    <mergeCell ref="K155:M155"/>
    <mergeCell ref="K156:M156"/>
    <mergeCell ref="N155:P155"/>
    <mergeCell ref="N156:P156"/>
    <mergeCell ref="N158:P158"/>
    <mergeCell ref="AC106:AD106"/>
    <mergeCell ref="AA115:AB115"/>
    <mergeCell ref="AC115:AD115"/>
    <mergeCell ref="AA107:AB107"/>
    <mergeCell ref="AC110:AD110"/>
    <mergeCell ref="Y78:Z78"/>
    <mergeCell ref="AA106:AB106"/>
    <mergeCell ref="AC107:AD107"/>
    <mergeCell ref="Y111:Z111"/>
    <mergeCell ref="AA111:AB111"/>
    <mergeCell ref="AA116:AB116"/>
    <mergeCell ref="AC116:AD116"/>
    <mergeCell ref="AC114:AD114"/>
    <mergeCell ref="Y108:Z108"/>
    <mergeCell ref="AA108:AB108"/>
    <mergeCell ref="AC108:AD108"/>
    <mergeCell ref="Y109:Z109"/>
    <mergeCell ref="AA109:AB109"/>
    <mergeCell ref="AA114:AB114"/>
    <mergeCell ref="AA75:AB75"/>
    <mergeCell ref="T83:V83"/>
    <mergeCell ref="T101:V101"/>
    <mergeCell ref="W80:X80"/>
    <mergeCell ref="Y80:Z80"/>
    <mergeCell ref="T78:V78"/>
    <mergeCell ref="W78:X78"/>
    <mergeCell ref="W75:X75"/>
    <mergeCell ref="Y75:Z75"/>
    <mergeCell ref="T79:V79"/>
    <mergeCell ref="W116:X116"/>
    <mergeCell ref="Y116:Z116"/>
    <mergeCell ref="Y115:Z115"/>
    <mergeCell ref="W106:X106"/>
    <mergeCell ref="Y106:Z106"/>
    <mergeCell ref="T117:V117"/>
    <mergeCell ref="T107:V107"/>
    <mergeCell ref="W109:X109"/>
    <mergeCell ref="W107:X107"/>
    <mergeCell ref="W111:X111"/>
    <mergeCell ref="W118:X118"/>
    <mergeCell ref="W123:X123"/>
    <mergeCell ref="Y123:Z123"/>
    <mergeCell ref="AA123:AB123"/>
    <mergeCell ref="W124:X124"/>
    <mergeCell ref="Y124:Z124"/>
    <mergeCell ref="W120:X120"/>
    <mergeCell ref="Y120:Z120"/>
    <mergeCell ref="AA120:AB120"/>
    <mergeCell ref="B162:J162"/>
    <mergeCell ref="K162:M162"/>
    <mergeCell ref="B163:J163"/>
    <mergeCell ref="K163:M163"/>
    <mergeCell ref="Y125:Z125"/>
    <mergeCell ref="AA125:AB125"/>
    <mergeCell ref="N135:P135"/>
    <mergeCell ref="Q135:S135"/>
    <mergeCell ref="N159:P159"/>
    <mergeCell ref="N160:P160"/>
    <mergeCell ref="Q76:S76"/>
    <mergeCell ref="T76:V76"/>
    <mergeCell ref="W76:X76"/>
    <mergeCell ref="Y76:Z76"/>
    <mergeCell ref="W164:X164"/>
    <mergeCell ref="K161:M161"/>
    <mergeCell ref="W163:X163"/>
    <mergeCell ref="Y163:Z163"/>
    <mergeCell ref="W117:X117"/>
    <mergeCell ref="Y117:Z117"/>
    <mergeCell ref="T151:V151"/>
    <mergeCell ref="W160:X160"/>
    <mergeCell ref="Y160:Z160"/>
    <mergeCell ref="Y164:Z164"/>
    <mergeCell ref="T164:V164"/>
    <mergeCell ref="T155:V155"/>
    <mergeCell ref="W155:X155"/>
    <mergeCell ref="Y155:Z155"/>
    <mergeCell ref="T152:V152"/>
    <mergeCell ref="W152:X152"/>
    <mergeCell ref="W133:X133"/>
    <mergeCell ref="Y133:Z133"/>
    <mergeCell ref="AA133:AB133"/>
    <mergeCell ref="W149:X149"/>
    <mergeCell ref="Y149:Z149"/>
    <mergeCell ref="Q148:S148"/>
    <mergeCell ref="T148:V148"/>
    <mergeCell ref="W148:X148"/>
    <mergeCell ref="T135:V135"/>
    <mergeCell ref="AA149:AB149"/>
    <mergeCell ref="W127:X127"/>
    <mergeCell ref="Y127:Z127"/>
    <mergeCell ref="AA127:AB127"/>
    <mergeCell ref="N140:P140"/>
    <mergeCell ref="AA119:AB119"/>
    <mergeCell ref="AC119:AD119"/>
    <mergeCell ref="T132:V132"/>
    <mergeCell ref="T133:V133"/>
    <mergeCell ref="Q132:S132"/>
    <mergeCell ref="W122:X122"/>
    <mergeCell ref="K119:M119"/>
    <mergeCell ref="N119:P119"/>
    <mergeCell ref="AC75:AD75"/>
    <mergeCell ref="Q129:S129"/>
    <mergeCell ref="T129:V129"/>
    <mergeCell ref="W125:X125"/>
    <mergeCell ref="AC125:AD125"/>
    <mergeCell ref="Y119:Z119"/>
    <mergeCell ref="Q123:S123"/>
    <mergeCell ref="T123:V123"/>
    <mergeCell ref="B135:J135"/>
    <mergeCell ref="B125:J125"/>
    <mergeCell ref="K125:M125"/>
    <mergeCell ref="N125:P125"/>
    <mergeCell ref="Q125:S125"/>
    <mergeCell ref="T125:V125"/>
    <mergeCell ref="T131:V131"/>
    <mergeCell ref="B131:J131"/>
    <mergeCell ref="T127:V127"/>
    <mergeCell ref="N131:P131"/>
    <mergeCell ref="Q155:S155"/>
    <mergeCell ref="AC134:AD134"/>
    <mergeCell ref="N133:P133"/>
    <mergeCell ref="Q133:S133"/>
    <mergeCell ref="Q130:S130"/>
    <mergeCell ref="Q131:S131"/>
    <mergeCell ref="N134:P134"/>
    <mergeCell ref="Q134:S134"/>
    <mergeCell ref="T134:V134"/>
    <mergeCell ref="T130:V130"/>
    <mergeCell ref="AA153:AB153"/>
    <mergeCell ref="K123:M123"/>
    <mergeCell ref="N123:P123"/>
    <mergeCell ref="Q162:S162"/>
    <mergeCell ref="T162:V162"/>
    <mergeCell ref="T153:V153"/>
    <mergeCell ref="N124:P124"/>
    <mergeCell ref="Q124:S124"/>
    <mergeCell ref="T124:V124"/>
    <mergeCell ref="K141:M141"/>
    <mergeCell ref="Y137:Z137"/>
    <mergeCell ref="AC123:AD123"/>
    <mergeCell ref="AA161:AB161"/>
    <mergeCell ref="AC161:AD161"/>
    <mergeCell ref="W162:X162"/>
    <mergeCell ref="W151:X151"/>
    <mergeCell ref="AA152:AB152"/>
    <mergeCell ref="AC152:AD152"/>
    <mergeCell ref="W153:X153"/>
    <mergeCell ref="Y153:Z153"/>
    <mergeCell ref="W79:X79"/>
    <mergeCell ref="AC153:AD153"/>
    <mergeCell ref="Y151:Z151"/>
    <mergeCell ref="AA151:AB151"/>
    <mergeCell ref="B137:J137"/>
    <mergeCell ref="K137:M137"/>
    <mergeCell ref="N137:P137"/>
    <mergeCell ref="Q137:S137"/>
    <mergeCell ref="T137:V137"/>
    <mergeCell ref="W137:X137"/>
    <mergeCell ref="T90:V90"/>
    <mergeCell ref="W90:X90"/>
    <mergeCell ref="Y90:Z90"/>
    <mergeCell ref="AA90:AB90"/>
    <mergeCell ref="AC90:AD90"/>
    <mergeCell ref="AA88:AB88"/>
    <mergeCell ref="AC88:AD88"/>
    <mergeCell ref="Y79:Z79"/>
    <mergeCell ref="AA79:AB79"/>
    <mergeCell ref="AC79:AD79"/>
    <mergeCell ref="AA80:AB80"/>
    <mergeCell ref="AC80:AD80"/>
    <mergeCell ref="AA78:AB78"/>
    <mergeCell ref="AC78:AD78"/>
    <mergeCell ref="AC82:AD82"/>
    <mergeCell ref="AA84:AB84"/>
    <mergeCell ref="Y88:Z88"/>
    <mergeCell ref="W83:X83"/>
    <mergeCell ref="Y83:Z83"/>
    <mergeCell ref="AA83:AB83"/>
    <mergeCell ref="AC83:AD83"/>
    <mergeCell ref="AC87:AD87"/>
    <mergeCell ref="AC86:AD86"/>
    <mergeCell ref="Y86:Z86"/>
    <mergeCell ref="Y103:Z103"/>
    <mergeCell ref="AA103:AB103"/>
    <mergeCell ref="N103:P103"/>
    <mergeCell ref="N104:P104"/>
    <mergeCell ref="K104:M104"/>
    <mergeCell ref="K105:M105"/>
    <mergeCell ref="W104:X104"/>
    <mergeCell ref="Y104:Z104"/>
    <mergeCell ref="AA104:AB104"/>
    <mergeCell ref="Q105:S105"/>
    <mergeCell ref="W102:X102"/>
    <mergeCell ref="Y99:Z99"/>
    <mergeCell ref="AA99:AB99"/>
    <mergeCell ref="AC99:AD99"/>
    <mergeCell ref="T105:V105"/>
    <mergeCell ref="W105:X105"/>
    <mergeCell ref="Y105:Z105"/>
    <mergeCell ref="AA105:AB105"/>
    <mergeCell ref="T103:V103"/>
    <mergeCell ref="W103:X103"/>
    <mergeCell ref="Q93:S93"/>
    <mergeCell ref="T93:V93"/>
    <mergeCell ref="W93:X93"/>
    <mergeCell ref="AC104:AD104"/>
    <mergeCell ref="Y94:Z94"/>
    <mergeCell ref="AA94:AB94"/>
    <mergeCell ref="Y96:Z96"/>
    <mergeCell ref="AA96:AB96"/>
    <mergeCell ref="AC96:AD96"/>
    <mergeCell ref="W97:X97"/>
    <mergeCell ref="N166:P166"/>
    <mergeCell ref="Q166:S166"/>
    <mergeCell ref="AC105:AD105"/>
    <mergeCell ref="W100:X100"/>
    <mergeCell ref="Y100:Z100"/>
    <mergeCell ref="Y101:Z101"/>
    <mergeCell ref="AA101:AB101"/>
    <mergeCell ref="AC101:AD101"/>
    <mergeCell ref="AC103:AD103"/>
    <mergeCell ref="N105:P105"/>
    <mergeCell ref="AA165:AB165"/>
    <mergeCell ref="AC165:AD165"/>
    <mergeCell ref="Y118:Z118"/>
    <mergeCell ref="AA118:AB118"/>
    <mergeCell ref="B167:J167"/>
    <mergeCell ref="K167:M167"/>
    <mergeCell ref="N167:P167"/>
    <mergeCell ref="Q167:S167"/>
    <mergeCell ref="B166:J166"/>
    <mergeCell ref="K166:M166"/>
    <mergeCell ref="AA140:AB140"/>
    <mergeCell ref="AA146:AB146"/>
    <mergeCell ref="T140:V140"/>
    <mergeCell ref="AC124:AD124"/>
    <mergeCell ref="B165:J165"/>
    <mergeCell ref="K165:M165"/>
    <mergeCell ref="N165:P165"/>
    <mergeCell ref="Q165:S165"/>
    <mergeCell ref="T165:V165"/>
    <mergeCell ref="W165:X165"/>
    <mergeCell ref="AC155:AD155"/>
    <mergeCell ref="W158:X158"/>
    <mergeCell ref="Y158:Z158"/>
    <mergeCell ref="T166:V166"/>
    <mergeCell ref="AA164:AB164"/>
    <mergeCell ref="B118:J118"/>
    <mergeCell ref="B119:J119"/>
    <mergeCell ref="K118:M118"/>
    <mergeCell ref="N118:P118"/>
    <mergeCell ref="AA154:AB154"/>
    <mergeCell ref="T143:V143"/>
    <mergeCell ref="W143:X143"/>
    <mergeCell ref="Y143:Z143"/>
    <mergeCell ref="AC154:AD154"/>
    <mergeCell ref="AC151:AD151"/>
    <mergeCell ref="Q158:S158"/>
    <mergeCell ref="W156:X156"/>
    <mergeCell ref="T158:V158"/>
    <mergeCell ref="Y152:Z152"/>
    <mergeCell ref="W154:X154"/>
    <mergeCell ref="Q163:S163"/>
    <mergeCell ref="T163:V163"/>
    <mergeCell ref="Y162:Z162"/>
    <mergeCell ref="AA143:AB143"/>
    <mergeCell ref="AC143:AD143"/>
    <mergeCell ref="T142:V142"/>
    <mergeCell ref="W142:X142"/>
    <mergeCell ref="Y142:Z142"/>
    <mergeCell ref="AA142:AB142"/>
    <mergeCell ref="AC142:AD142"/>
    <mergeCell ref="AC158:AD158"/>
    <mergeCell ref="T157:V157"/>
    <mergeCell ref="W157:X157"/>
    <mergeCell ref="Y157:Z157"/>
    <mergeCell ref="W166:X166"/>
    <mergeCell ref="Y166:Z166"/>
    <mergeCell ref="AA166:AB166"/>
    <mergeCell ref="AC166:AD166"/>
    <mergeCell ref="AC164:AD164"/>
    <mergeCell ref="Y165:Z165"/>
    <mergeCell ref="AC156:AD156"/>
    <mergeCell ref="AA163:AB163"/>
    <mergeCell ref="AC163:AD163"/>
    <mergeCell ref="Q154:S154"/>
    <mergeCell ref="AA155:AB155"/>
    <mergeCell ref="T154:V154"/>
    <mergeCell ref="AA157:AB157"/>
    <mergeCell ref="Y156:Z156"/>
    <mergeCell ref="AA156:AB156"/>
    <mergeCell ref="AA158:AB158"/>
    <mergeCell ref="Y144:Z144"/>
    <mergeCell ref="K97:M97"/>
    <mergeCell ref="N97:P97"/>
    <mergeCell ref="Q97:S97"/>
    <mergeCell ref="T97:V97"/>
    <mergeCell ref="N96:P96"/>
    <mergeCell ref="Q96:S96"/>
    <mergeCell ref="T96:V96"/>
    <mergeCell ref="W96:X96"/>
    <mergeCell ref="Y140:Z140"/>
    <mergeCell ref="AA145:AB145"/>
    <mergeCell ref="Y97:Z97"/>
    <mergeCell ref="AA97:AB97"/>
    <mergeCell ref="AC97:AD97"/>
    <mergeCell ref="B144:J144"/>
    <mergeCell ref="K144:M144"/>
    <mergeCell ref="N144:P144"/>
    <mergeCell ref="Q144:S144"/>
    <mergeCell ref="T144:V144"/>
    <mergeCell ref="W144:X144"/>
    <mergeCell ref="AC145:AD145"/>
    <mergeCell ref="AA144:AB144"/>
    <mergeCell ref="AC144:AD144"/>
    <mergeCell ref="B145:J145"/>
    <mergeCell ref="K145:M145"/>
    <mergeCell ref="N145:P145"/>
    <mergeCell ref="Q145:S145"/>
    <mergeCell ref="T145:V145"/>
    <mergeCell ref="W145:X145"/>
    <mergeCell ref="Y145:Z145"/>
  </mergeCells>
  <phoneticPr fontId="3" type="noConversion"/>
  <pageMargins left="0.39370078740157483" right="0" top="0.31496062992125984" bottom="0" header="0.27559055118110237" footer="0.31496062992125984"/>
  <pageSetup paperSize="9" scale="65" orientation="landscape" verticalDpi="1200" r:id="rId1"/>
  <headerFooter alignWithMargins="0"/>
  <rowBreaks count="2" manualBreakCount="2">
    <brk id="47" max="30" man="1"/>
    <brk id="164" max="30" man="1"/>
  </rowBreaks>
  <ignoredErrors>
    <ignoredError sqref="H35:K35 N35" formulaRange="1"/>
    <ignoredError sqref="N36:O36 H36:K36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48497"/>
  </sheetPr>
  <dimension ref="A1:AA454"/>
  <sheetViews>
    <sheetView view="pageBreakPreview" zoomScale="70" zoomScaleNormal="75" zoomScaleSheetLayoutView="70" workbookViewId="0">
      <pane xSplit="3" ySplit="12" topLeftCell="K441" activePane="bottomRight" state="frozen"/>
      <selection pane="topRight" activeCell="D1" sqref="D1"/>
      <selection pane="bottomLeft" activeCell="A13" sqref="A13"/>
      <selection pane="bottomRight" activeCell="W463" sqref="W463"/>
    </sheetView>
  </sheetViews>
  <sheetFormatPr defaultRowHeight="6.75" customHeight="1"/>
  <cols>
    <col min="1" max="1" width="4.28515625" style="264" customWidth="1"/>
    <col min="2" max="2" width="42.28515625" style="265" customWidth="1"/>
    <col min="3" max="3" width="8.42578125" style="265" customWidth="1"/>
    <col min="4" max="4" width="5.85546875" style="264" customWidth="1"/>
    <col min="5" max="5" width="10.7109375" style="265" customWidth="1"/>
    <col min="6" max="6" width="11.85546875" style="265" customWidth="1"/>
    <col min="7" max="7" width="10.140625" style="265" customWidth="1"/>
    <col min="8" max="8" width="8.5703125" style="265" customWidth="1"/>
    <col min="9" max="9" width="10" style="265" customWidth="1"/>
    <col min="10" max="10" width="8.7109375" style="265" customWidth="1"/>
    <col min="11" max="11" width="9.28515625" style="265" bestFit="1" customWidth="1"/>
    <col min="12" max="12" width="10.140625" style="265" bestFit="1" customWidth="1"/>
    <col min="13" max="13" width="7.140625" style="265" customWidth="1"/>
    <col min="14" max="14" width="10.28515625" style="265" bestFit="1" customWidth="1"/>
    <col min="15" max="15" width="10.7109375" style="265" customWidth="1"/>
    <col min="16" max="16" width="8.28515625" style="265" customWidth="1"/>
    <col min="17" max="17" width="10" style="265" customWidth="1"/>
    <col min="18" max="18" width="9.5703125" style="265" customWidth="1"/>
    <col min="19" max="19" width="9.7109375" style="265" customWidth="1"/>
    <col min="20" max="20" width="8.7109375" style="265" customWidth="1"/>
    <col min="21" max="21" width="13.28515625" style="265" customWidth="1"/>
    <col min="22" max="22" width="13.42578125" style="265" bestFit="1" customWidth="1"/>
    <col min="23" max="23" width="16.85546875" style="265" customWidth="1"/>
    <col min="24" max="24" width="11.5703125" style="265" bestFit="1" customWidth="1"/>
    <col min="25" max="25" width="10.7109375" style="265" bestFit="1" customWidth="1"/>
    <col min="26" max="26" width="15.140625" style="265" customWidth="1"/>
    <col min="27" max="16384" width="9.140625" style="265"/>
  </cols>
  <sheetData>
    <row r="1" spans="1:24" ht="37.5" customHeight="1">
      <c r="P1" s="825" t="s">
        <v>1025</v>
      </c>
      <c r="Q1" s="825"/>
      <c r="R1" s="825"/>
      <c r="S1" s="825"/>
      <c r="T1" s="825"/>
      <c r="U1" s="266"/>
    </row>
    <row r="2" spans="1:24" ht="16.5" customHeight="1"/>
    <row r="4" spans="1:24" ht="22.5" customHeight="1">
      <c r="A4" s="826" t="s">
        <v>307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  <c r="P4" s="826"/>
      <c r="Q4" s="826"/>
      <c r="R4" s="826"/>
      <c r="S4" s="826"/>
      <c r="T4" s="826"/>
      <c r="U4" s="826"/>
    </row>
    <row r="6" spans="1:24" ht="6" customHeight="1">
      <c r="O6" s="267"/>
      <c r="P6" s="267"/>
      <c r="Q6" s="267"/>
    </row>
    <row r="7" spans="1:24" ht="12.75" customHeight="1">
      <c r="F7" s="268"/>
      <c r="G7" s="268"/>
      <c r="H7" s="268"/>
      <c r="I7" s="268"/>
      <c r="J7" s="268"/>
      <c r="K7" s="268"/>
      <c r="L7" s="268"/>
      <c r="M7" s="268"/>
      <c r="O7" s="268"/>
      <c r="P7" s="268"/>
      <c r="Q7" s="268"/>
      <c r="R7" s="268"/>
      <c r="S7" s="268"/>
      <c r="T7" s="268"/>
      <c r="U7" s="269"/>
    </row>
    <row r="8" spans="1:24" ht="13.35" customHeight="1">
      <c r="A8" s="821" t="s">
        <v>978</v>
      </c>
      <c r="B8" s="821" t="s">
        <v>979</v>
      </c>
      <c r="C8" s="821" t="s">
        <v>980</v>
      </c>
      <c r="D8" s="821"/>
      <c r="E8" s="821" t="s">
        <v>981</v>
      </c>
      <c r="F8" s="823" t="s">
        <v>982</v>
      </c>
      <c r="G8" s="823"/>
      <c r="H8" s="823"/>
      <c r="I8" s="823"/>
      <c r="J8" s="823"/>
      <c r="K8" s="823"/>
      <c r="L8" s="823"/>
      <c r="M8" s="823"/>
      <c r="N8" s="823"/>
      <c r="O8" s="823"/>
      <c r="P8" s="823"/>
      <c r="Q8" s="823"/>
      <c r="R8" s="823" t="s">
        <v>983</v>
      </c>
      <c r="S8" s="823"/>
      <c r="T8" s="823"/>
      <c r="U8" s="823" t="s">
        <v>984</v>
      </c>
    </row>
    <row r="9" spans="1:24" ht="27" customHeight="1">
      <c r="A9" s="821"/>
      <c r="B9" s="821"/>
      <c r="C9" s="821"/>
      <c r="D9" s="821"/>
      <c r="E9" s="821"/>
      <c r="F9" s="823" t="s">
        <v>985</v>
      </c>
      <c r="G9" s="823"/>
      <c r="H9" s="823"/>
      <c r="I9" s="823"/>
      <c r="J9" s="823"/>
      <c r="K9" s="823"/>
      <c r="L9" s="823"/>
      <c r="M9" s="823"/>
      <c r="N9" s="822" t="s">
        <v>986</v>
      </c>
      <c r="O9" s="822"/>
      <c r="P9" s="821" t="s">
        <v>987</v>
      </c>
      <c r="Q9" s="821" t="s">
        <v>988</v>
      </c>
      <c r="R9" s="823"/>
      <c r="S9" s="823"/>
      <c r="T9" s="823"/>
      <c r="U9" s="823"/>
    </row>
    <row r="10" spans="1:24" ht="13.35" customHeight="1">
      <c r="A10" s="821"/>
      <c r="B10" s="821"/>
      <c r="C10" s="823" t="s">
        <v>989</v>
      </c>
      <c r="D10" s="270" t="s">
        <v>990</v>
      </c>
      <c r="E10" s="821"/>
      <c r="F10" s="824" t="s">
        <v>991</v>
      </c>
      <c r="G10" s="822" t="s">
        <v>948</v>
      </c>
      <c r="H10" s="822"/>
      <c r="I10" s="822"/>
      <c r="J10" s="822"/>
      <c r="K10" s="822"/>
      <c r="L10" s="822"/>
      <c r="M10" s="822"/>
      <c r="N10" s="824" t="s">
        <v>992</v>
      </c>
      <c r="O10" s="821" t="s">
        <v>993</v>
      </c>
      <c r="P10" s="821"/>
      <c r="Q10" s="821"/>
      <c r="R10" s="821" t="s">
        <v>991</v>
      </c>
      <c r="S10" s="822" t="s">
        <v>948</v>
      </c>
      <c r="T10" s="822"/>
      <c r="U10" s="823"/>
    </row>
    <row r="11" spans="1:24" ht="108.6" customHeight="1">
      <c r="A11" s="821"/>
      <c r="B11" s="821"/>
      <c r="C11" s="823"/>
      <c r="D11" s="271" t="s">
        <v>994</v>
      </c>
      <c r="E11" s="821"/>
      <c r="F11" s="824"/>
      <c r="G11" s="272" t="s">
        <v>1298</v>
      </c>
      <c r="H11" s="272" t="s">
        <v>1299</v>
      </c>
      <c r="I11" s="272" t="s">
        <v>1300</v>
      </c>
      <c r="J11" s="272" t="s">
        <v>1301</v>
      </c>
      <c r="K11" s="272" t="s">
        <v>1302</v>
      </c>
      <c r="L11" s="272" t="s">
        <v>1303</v>
      </c>
      <c r="M11" s="272" t="s">
        <v>1177</v>
      </c>
      <c r="N11" s="824"/>
      <c r="O11" s="821"/>
      <c r="P11" s="821"/>
      <c r="Q11" s="821"/>
      <c r="R11" s="821"/>
      <c r="S11" s="272" t="s">
        <v>1304</v>
      </c>
      <c r="T11" s="273" t="s">
        <v>1305</v>
      </c>
      <c r="U11" s="823"/>
    </row>
    <row r="12" spans="1:24" ht="14.85" customHeight="1">
      <c r="A12" s="274"/>
      <c r="B12" s="275" t="s">
        <v>995</v>
      </c>
      <c r="C12" s="276">
        <f t="shared" ref="C12:M12" si="0">SUM(C13:C395)</f>
        <v>847</v>
      </c>
      <c r="D12" s="278">
        <f t="shared" si="0"/>
        <v>0</v>
      </c>
      <c r="E12" s="279">
        <f t="shared" si="0"/>
        <v>35718.473760459179</v>
      </c>
      <c r="F12" s="279">
        <f t="shared" si="0"/>
        <v>9203.048140531193</v>
      </c>
      <c r="G12" s="279">
        <f t="shared" si="0"/>
        <v>1497.0463354549079</v>
      </c>
      <c r="H12" s="279">
        <f t="shared" si="0"/>
        <v>0</v>
      </c>
      <c r="I12" s="279">
        <f t="shared" si="0"/>
        <v>1908.6264907371005</v>
      </c>
      <c r="J12" s="279">
        <f t="shared" si="0"/>
        <v>467.51208485415663</v>
      </c>
      <c r="K12" s="279">
        <f t="shared" si="0"/>
        <v>466.10345721480718</v>
      </c>
      <c r="L12" s="279">
        <f t="shared" si="0"/>
        <v>4768.9349986284533</v>
      </c>
      <c r="M12" s="279">
        <f t="shared" si="0"/>
        <v>94.824773641757517</v>
      </c>
      <c r="N12" s="279"/>
      <c r="O12" s="279">
        <f t="shared" ref="O12:T12" si="1">SUM(O13:O395)</f>
        <v>7155.5640892136025</v>
      </c>
      <c r="P12" s="279">
        <f t="shared" si="1"/>
        <v>0</v>
      </c>
      <c r="Q12" s="279">
        <f t="shared" si="1"/>
        <v>1097.7120000000057</v>
      </c>
      <c r="R12" s="279">
        <f t="shared" si="1"/>
        <v>0</v>
      </c>
      <c r="S12" s="279">
        <f t="shared" si="1"/>
        <v>0</v>
      </c>
      <c r="T12" s="280">
        <f t="shared" si="1"/>
        <v>0</v>
      </c>
      <c r="U12" s="279">
        <f>SUM(U13:U395)</f>
        <v>53174.797990203937</v>
      </c>
      <c r="V12" s="281">
        <f>U7-U12</f>
        <v>-53174.797990203937</v>
      </c>
      <c r="W12" s="282">
        <f>V12/L12</f>
        <v>-11.150245915596884</v>
      </c>
    </row>
    <row r="13" spans="1:24" ht="17.25" customHeight="1">
      <c r="A13" s="283">
        <v>1</v>
      </c>
      <c r="B13" s="284" t="s">
        <v>1057</v>
      </c>
      <c r="C13" s="285">
        <v>1</v>
      </c>
      <c r="D13" s="286"/>
      <c r="E13" s="287">
        <f>X13*11*1.1611</f>
        <v>89.404700000000005</v>
      </c>
      <c r="F13" s="280">
        <f t="shared" ref="F13:F79" si="2">SUM(G13:M13)</f>
        <v>56.633813600000003</v>
      </c>
      <c r="G13" s="288"/>
      <c r="H13" s="288"/>
      <c r="I13" s="288"/>
      <c r="J13" s="288"/>
      <c r="K13" s="288"/>
      <c r="L13" s="288">
        <f>E13/11*1.468</f>
        <v>11.931463600000001</v>
      </c>
      <c r="M13" s="288">
        <f>E13*0.5</f>
        <v>44.702350000000003</v>
      </c>
      <c r="N13" s="289">
        <f t="shared" ref="N13:N79" si="3">O13/E13</f>
        <v>0</v>
      </c>
      <c r="O13" s="287">
        <v>0</v>
      </c>
      <c r="P13" s="288"/>
      <c r="Q13" s="288">
        <f>0.216*6*C13</f>
        <v>1.296</v>
      </c>
      <c r="R13" s="341">
        <f t="shared" ref="R13:R79" si="4">SUM(S13:T13)</f>
        <v>0</v>
      </c>
      <c r="S13" s="287"/>
      <c r="T13" s="287"/>
      <c r="U13" s="279">
        <f>E13+F13+O13+P13+Q13+R13</f>
        <v>147.33451360000001</v>
      </c>
      <c r="V13" s="327" t="s">
        <v>439</v>
      </c>
      <c r="W13" s="290"/>
      <c r="X13" s="291">
        <v>7</v>
      </c>
    </row>
    <row r="14" spans="1:24" ht="17.25" customHeight="1">
      <c r="A14" s="283">
        <f t="shared" ref="A14:A78" si="5">A13+1</f>
        <v>2</v>
      </c>
      <c r="B14" s="284" t="s">
        <v>1306</v>
      </c>
      <c r="C14" s="285">
        <v>1</v>
      </c>
      <c r="D14" s="286"/>
      <c r="E14" s="287">
        <f>X14*11*(C14-D14)*1.063*1.13045*1.1611*1.0487*1.25</f>
        <v>96.772796281783471</v>
      </c>
      <c r="F14" s="280">
        <f t="shared" si="2"/>
        <v>24.527505093964756</v>
      </c>
      <c r="G14" s="288"/>
      <c r="H14" s="288"/>
      <c r="I14" s="288"/>
      <c r="J14" s="288"/>
      <c r="K14" s="288"/>
      <c r="L14" s="288">
        <f t="shared" ref="L14:L78" si="6">E14/11*1.468</f>
        <v>12.91476954015074</v>
      </c>
      <c r="M14" s="288">
        <f>E14*0.12</f>
        <v>11.612735553814016</v>
      </c>
      <c r="N14" s="289">
        <f t="shared" si="3"/>
        <v>0.2</v>
      </c>
      <c r="O14" s="287">
        <f>(E14+G14+H14+I14+J14)*0.2</f>
        <v>19.354559256356694</v>
      </c>
      <c r="P14" s="288"/>
      <c r="Q14" s="288">
        <f t="shared" ref="Q14:Q77" si="7">0.216*6*C14</f>
        <v>1.296</v>
      </c>
      <c r="R14" s="341">
        <f t="shared" si="4"/>
        <v>0</v>
      </c>
      <c r="S14" s="287"/>
      <c r="T14" s="287"/>
      <c r="U14" s="279">
        <f>E14+F14+O14+P14+Q14+R14</f>
        <v>141.95086063210493</v>
      </c>
      <c r="V14" s="327" t="s">
        <v>439</v>
      </c>
      <c r="W14" s="290"/>
      <c r="X14" s="291">
        <v>4.8099999999999996</v>
      </c>
    </row>
    <row r="15" spans="1:24" ht="31.5">
      <c r="A15" s="283">
        <f t="shared" si="5"/>
        <v>3</v>
      </c>
      <c r="B15" s="284" t="s">
        <v>1307</v>
      </c>
      <c r="C15" s="285">
        <v>1</v>
      </c>
      <c r="D15" s="286"/>
      <c r="E15" s="287">
        <f t="shared" ref="E15:E78" si="8">X15*11*(C15-D15)*1.063*1.13045*1.1611*1.0487*1.25</f>
        <v>98.985895573050897</v>
      </c>
      <c r="F15" s="280">
        <f t="shared" si="2"/>
        <v>13.21011770011261</v>
      </c>
      <c r="G15" s="288"/>
      <c r="H15" s="288"/>
      <c r="I15" s="288"/>
      <c r="J15" s="288"/>
      <c r="K15" s="288"/>
      <c r="L15" s="288">
        <f t="shared" si="6"/>
        <v>13.21011770011261</v>
      </c>
      <c r="M15" s="288"/>
      <c r="N15" s="289">
        <f t="shared" si="3"/>
        <v>0.2</v>
      </c>
      <c r="O15" s="287">
        <f t="shared" ref="O15:O56" si="9">(E15+G15+H15+I15+J15)*0.2</f>
        <v>19.797179114610181</v>
      </c>
      <c r="P15" s="288"/>
      <c r="Q15" s="288">
        <f t="shared" si="7"/>
        <v>1.296</v>
      </c>
      <c r="R15" s="341">
        <f t="shared" si="4"/>
        <v>0</v>
      </c>
      <c r="S15" s="287"/>
      <c r="T15" s="287"/>
      <c r="U15" s="279">
        <f t="shared" ref="U15:U79" si="10">E15+F15+O15+P15+Q15+R15</f>
        <v>133.28919238777368</v>
      </c>
      <c r="V15" s="327" t="s">
        <v>439</v>
      </c>
      <c r="W15" s="290"/>
      <c r="X15" s="291">
        <v>4.92</v>
      </c>
    </row>
    <row r="16" spans="1:24" ht="31.5">
      <c r="A16" s="283">
        <f t="shared" si="5"/>
        <v>4</v>
      </c>
      <c r="B16" s="284" t="s">
        <v>1308</v>
      </c>
      <c r="C16" s="285">
        <v>1</v>
      </c>
      <c r="D16" s="286"/>
      <c r="E16" s="287">
        <f t="shared" si="8"/>
        <v>98.985895573050897</v>
      </c>
      <c r="F16" s="280">
        <f t="shared" si="2"/>
        <v>13.21011770011261</v>
      </c>
      <c r="G16" s="288"/>
      <c r="H16" s="288"/>
      <c r="I16" s="288"/>
      <c r="J16" s="288"/>
      <c r="K16" s="288"/>
      <c r="L16" s="288">
        <f t="shared" si="6"/>
        <v>13.21011770011261</v>
      </c>
      <c r="M16" s="288"/>
      <c r="N16" s="289">
        <f t="shared" si="3"/>
        <v>0.2</v>
      </c>
      <c r="O16" s="287">
        <f t="shared" si="9"/>
        <v>19.797179114610181</v>
      </c>
      <c r="P16" s="288"/>
      <c r="Q16" s="288">
        <f t="shared" si="7"/>
        <v>1.296</v>
      </c>
      <c r="R16" s="341">
        <f>SUM(S16:T16)</f>
        <v>0</v>
      </c>
      <c r="S16" s="287"/>
      <c r="T16" s="287"/>
      <c r="U16" s="279">
        <f t="shared" si="10"/>
        <v>133.28919238777368</v>
      </c>
      <c r="V16" s="327" t="s">
        <v>439</v>
      </c>
      <c r="W16" s="290"/>
      <c r="X16" s="291">
        <v>4.92</v>
      </c>
    </row>
    <row r="17" spans="1:24" ht="15.75">
      <c r="A17" s="283">
        <f t="shared" si="5"/>
        <v>5</v>
      </c>
      <c r="B17" s="284" t="s">
        <v>1309</v>
      </c>
      <c r="C17" s="285">
        <v>1</v>
      </c>
      <c r="D17" s="286"/>
      <c r="E17" s="287">
        <f t="shared" si="8"/>
        <v>61.966780155487143</v>
      </c>
      <c r="F17" s="280">
        <f t="shared" si="2"/>
        <v>8.2697484789322839</v>
      </c>
      <c r="G17" s="288"/>
      <c r="H17" s="288"/>
      <c r="I17" s="288"/>
      <c r="J17" s="288"/>
      <c r="K17" s="288"/>
      <c r="L17" s="288">
        <f t="shared" si="6"/>
        <v>8.2697484789322839</v>
      </c>
      <c r="M17" s="288"/>
      <c r="N17" s="289">
        <f t="shared" si="3"/>
        <v>0.2</v>
      </c>
      <c r="O17" s="287">
        <f t="shared" si="9"/>
        <v>12.393356031097429</v>
      </c>
      <c r="P17" s="288"/>
      <c r="Q17" s="288">
        <f t="shared" si="7"/>
        <v>1.296</v>
      </c>
      <c r="R17" s="341">
        <f t="shared" si="4"/>
        <v>0</v>
      </c>
      <c r="S17" s="287"/>
      <c r="T17" s="287"/>
      <c r="U17" s="279">
        <f t="shared" si="10"/>
        <v>83.925884665516861</v>
      </c>
      <c r="V17" s="328" t="s">
        <v>440</v>
      </c>
      <c r="W17" s="290"/>
      <c r="X17" s="291">
        <v>3.08</v>
      </c>
    </row>
    <row r="18" spans="1:24" ht="17.25" customHeight="1">
      <c r="A18" s="283">
        <f t="shared" si="5"/>
        <v>6</v>
      </c>
      <c r="B18" s="284" t="s">
        <v>1310</v>
      </c>
      <c r="C18" s="292">
        <v>1</v>
      </c>
      <c r="D18" s="286"/>
      <c r="E18" s="287">
        <f t="shared" si="8"/>
        <v>80.476337864269013</v>
      </c>
      <c r="F18" s="280">
        <f t="shared" si="2"/>
        <v>10.739933089522447</v>
      </c>
      <c r="G18" s="288"/>
      <c r="H18" s="288"/>
      <c r="I18" s="288"/>
      <c r="J18" s="288"/>
      <c r="K18" s="288"/>
      <c r="L18" s="288">
        <f t="shared" si="6"/>
        <v>10.739933089522447</v>
      </c>
      <c r="M18" s="288"/>
      <c r="N18" s="289">
        <f t="shared" si="3"/>
        <v>0.2</v>
      </c>
      <c r="O18" s="287">
        <f t="shared" si="9"/>
        <v>16.095267572853803</v>
      </c>
      <c r="P18" s="288"/>
      <c r="Q18" s="288">
        <f t="shared" si="7"/>
        <v>1.296</v>
      </c>
      <c r="R18" s="341">
        <f t="shared" si="4"/>
        <v>0</v>
      </c>
      <c r="S18" s="287"/>
      <c r="T18" s="287"/>
      <c r="U18" s="279">
        <f t="shared" si="10"/>
        <v>108.60753852664527</v>
      </c>
      <c r="V18" s="327" t="s">
        <v>439</v>
      </c>
      <c r="W18" s="290"/>
      <c r="X18" s="291">
        <v>4</v>
      </c>
    </row>
    <row r="19" spans="1:24" ht="15.75">
      <c r="A19" s="283">
        <f t="shared" si="5"/>
        <v>7</v>
      </c>
      <c r="B19" s="284" t="s">
        <v>1311</v>
      </c>
      <c r="C19" s="292">
        <v>1</v>
      </c>
      <c r="D19" s="293"/>
      <c r="E19" s="287">
        <f t="shared" si="8"/>
        <v>80.476337864269013</v>
      </c>
      <c r="F19" s="280">
        <f t="shared" si="2"/>
        <v>10.739933089522447</v>
      </c>
      <c r="G19" s="288"/>
      <c r="H19" s="288"/>
      <c r="I19" s="288"/>
      <c r="J19" s="288"/>
      <c r="K19" s="288"/>
      <c r="L19" s="288">
        <f t="shared" si="6"/>
        <v>10.739933089522447</v>
      </c>
      <c r="M19" s="288"/>
      <c r="N19" s="289">
        <f t="shared" si="3"/>
        <v>0.2</v>
      </c>
      <c r="O19" s="287">
        <f t="shared" si="9"/>
        <v>16.095267572853803</v>
      </c>
      <c r="P19" s="288"/>
      <c r="Q19" s="288">
        <f t="shared" si="7"/>
        <v>1.296</v>
      </c>
      <c r="R19" s="341">
        <f t="shared" si="4"/>
        <v>0</v>
      </c>
      <c r="S19" s="287"/>
      <c r="T19" s="287"/>
      <c r="U19" s="279">
        <f t="shared" si="10"/>
        <v>108.60753852664527</v>
      </c>
      <c r="V19" s="327" t="s">
        <v>439</v>
      </c>
      <c r="W19" s="290"/>
      <c r="X19" s="291">
        <v>4</v>
      </c>
    </row>
    <row r="20" spans="1:24" ht="17.25" customHeight="1">
      <c r="A20" s="283">
        <f t="shared" si="5"/>
        <v>8</v>
      </c>
      <c r="B20" s="284" t="s">
        <v>1312</v>
      </c>
      <c r="C20" s="292">
        <v>1</v>
      </c>
      <c r="D20" s="293"/>
      <c r="E20" s="287">
        <f t="shared" si="8"/>
        <v>61.966780155487143</v>
      </c>
      <c r="F20" s="280">
        <f t="shared" si="2"/>
        <v>8.2697484789322839</v>
      </c>
      <c r="G20" s="288"/>
      <c r="H20" s="288"/>
      <c r="I20" s="288"/>
      <c r="J20" s="288"/>
      <c r="K20" s="288"/>
      <c r="L20" s="288">
        <f t="shared" si="6"/>
        <v>8.2697484789322839</v>
      </c>
      <c r="M20" s="288"/>
      <c r="N20" s="289">
        <f t="shared" si="3"/>
        <v>0.2</v>
      </c>
      <c r="O20" s="287">
        <f t="shared" si="9"/>
        <v>12.393356031097429</v>
      </c>
      <c r="P20" s="288"/>
      <c r="Q20" s="288">
        <f t="shared" si="7"/>
        <v>1.296</v>
      </c>
      <c r="R20" s="341">
        <f t="shared" si="4"/>
        <v>0</v>
      </c>
      <c r="S20" s="287"/>
      <c r="T20" s="287"/>
      <c r="U20" s="279">
        <f t="shared" si="10"/>
        <v>83.925884665516861</v>
      </c>
      <c r="V20" s="328" t="s">
        <v>440</v>
      </c>
      <c r="W20" s="290"/>
      <c r="X20" s="291">
        <v>3.08</v>
      </c>
    </row>
    <row r="21" spans="1:24" ht="15.75">
      <c r="A21" s="283">
        <f t="shared" si="5"/>
        <v>9</v>
      </c>
      <c r="B21" s="284" t="s">
        <v>1313</v>
      </c>
      <c r="C21" s="292">
        <v>1</v>
      </c>
      <c r="D21" s="293"/>
      <c r="E21" s="287">
        <f t="shared" si="8"/>
        <v>55.528673126345623</v>
      </c>
      <c r="F21" s="280">
        <f t="shared" si="2"/>
        <v>7.4105538317704882</v>
      </c>
      <c r="G21" s="288"/>
      <c r="H21" s="288"/>
      <c r="I21" s="288"/>
      <c r="J21" s="288"/>
      <c r="K21" s="288"/>
      <c r="L21" s="288">
        <f t="shared" si="6"/>
        <v>7.4105538317704882</v>
      </c>
      <c r="M21" s="288"/>
      <c r="N21" s="289">
        <f t="shared" si="3"/>
        <v>0.2</v>
      </c>
      <c r="O21" s="287">
        <f t="shared" si="9"/>
        <v>11.105734625269125</v>
      </c>
      <c r="P21" s="288"/>
      <c r="Q21" s="288">
        <f t="shared" si="7"/>
        <v>1.296</v>
      </c>
      <c r="R21" s="341">
        <f t="shared" si="4"/>
        <v>0</v>
      </c>
      <c r="S21" s="287"/>
      <c r="T21" s="287"/>
      <c r="U21" s="279">
        <f t="shared" si="10"/>
        <v>75.340961583385237</v>
      </c>
      <c r="V21" s="329" t="s">
        <v>441</v>
      </c>
      <c r="W21" s="290"/>
      <c r="X21" s="291">
        <v>2.76</v>
      </c>
    </row>
    <row r="22" spans="1:24" ht="17.25" customHeight="1">
      <c r="A22" s="283">
        <f t="shared" si="5"/>
        <v>10</v>
      </c>
      <c r="B22" s="284" t="s">
        <v>1314</v>
      </c>
      <c r="C22" s="292">
        <v>1</v>
      </c>
      <c r="D22" s="293"/>
      <c r="E22" s="287">
        <f t="shared" si="8"/>
        <v>45.972108004963687</v>
      </c>
      <c r="F22" s="280">
        <f>SUM(G22:M22)</f>
        <v>6.1351867773896993</v>
      </c>
      <c r="G22" s="288"/>
      <c r="H22" s="288"/>
      <c r="I22" s="288"/>
      <c r="J22" s="288"/>
      <c r="K22" s="288"/>
      <c r="L22" s="288">
        <f t="shared" si="6"/>
        <v>6.1351867773896993</v>
      </c>
      <c r="M22" s="288"/>
      <c r="N22" s="289">
        <f>O22/E22</f>
        <v>0.2</v>
      </c>
      <c r="O22" s="287">
        <f t="shared" si="9"/>
        <v>9.1944216009927384</v>
      </c>
      <c r="P22" s="288"/>
      <c r="Q22" s="288">
        <f t="shared" si="7"/>
        <v>1.296</v>
      </c>
      <c r="R22" s="341">
        <f>SUM(S22:T22)</f>
        <v>0</v>
      </c>
      <c r="S22" s="287"/>
      <c r="T22" s="287"/>
      <c r="U22" s="279">
        <f>E22+F22+O22+P22+Q22+R22</f>
        <v>62.597716383346125</v>
      </c>
      <c r="V22" s="330" t="s">
        <v>442</v>
      </c>
      <c r="W22" s="290"/>
      <c r="X22" s="291">
        <v>2.2850000000000001</v>
      </c>
    </row>
    <row r="23" spans="1:24" ht="17.25" customHeight="1">
      <c r="A23" s="283">
        <f t="shared" si="5"/>
        <v>11</v>
      </c>
      <c r="B23" s="513" t="s">
        <v>1168</v>
      </c>
      <c r="C23" s="292">
        <v>1</v>
      </c>
      <c r="D23" s="293"/>
      <c r="E23" s="287">
        <f t="shared" si="8"/>
        <v>85.204322713794824</v>
      </c>
      <c r="F23" s="280">
        <f t="shared" si="2"/>
        <v>11.370904158531891</v>
      </c>
      <c r="G23" s="288"/>
      <c r="H23" s="288"/>
      <c r="I23" s="288"/>
      <c r="J23" s="288"/>
      <c r="K23" s="288"/>
      <c r="L23" s="288">
        <f t="shared" si="6"/>
        <v>11.370904158531891</v>
      </c>
      <c r="M23" s="288"/>
      <c r="N23" s="289">
        <f t="shared" si="3"/>
        <v>0.19999999999999998</v>
      </c>
      <c r="O23" s="287">
        <f t="shared" si="9"/>
        <v>17.040864542758964</v>
      </c>
      <c r="P23" s="288"/>
      <c r="Q23" s="288">
        <f t="shared" si="7"/>
        <v>1.296</v>
      </c>
      <c r="R23" s="341">
        <f t="shared" si="4"/>
        <v>0</v>
      </c>
      <c r="S23" s="287"/>
      <c r="T23" s="287"/>
      <c r="U23" s="279">
        <f t="shared" si="10"/>
        <v>114.91209141508568</v>
      </c>
      <c r="V23" s="327" t="s">
        <v>439</v>
      </c>
      <c r="W23" s="290"/>
      <c r="X23" s="291">
        <v>4.2350000000000003</v>
      </c>
    </row>
    <row r="24" spans="1:24" ht="15.75">
      <c r="A24" s="283">
        <f t="shared" si="5"/>
        <v>12</v>
      </c>
      <c r="B24" s="284" t="s">
        <v>1315</v>
      </c>
      <c r="C24" s="292">
        <v>1</v>
      </c>
      <c r="D24" s="293"/>
      <c r="E24" s="287">
        <f t="shared" si="8"/>
        <v>78.162643150671272</v>
      </c>
      <c r="F24" s="280">
        <f t="shared" si="2"/>
        <v>10.431160013198674</v>
      </c>
      <c r="G24" s="288"/>
      <c r="H24" s="288"/>
      <c r="I24" s="288"/>
      <c r="J24" s="288"/>
      <c r="K24" s="288"/>
      <c r="L24" s="288">
        <f t="shared" si="6"/>
        <v>10.431160013198674</v>
      </c>
      <c r="M24" s="288"/>
      <c r="N24" s="289">
        <f t="shared" si="3"/>
        <v>0.2</v>
      </c>
      <c r="O24" s="287">
        <f t="shared" si="9"/>
        <v>15.632528630134255</v>
      </c>
      <c r="P24" s="288"/>
      <c r="Q24" s="288">
        <f t="shared" si="7"/>
        <v>1.296</v>
      </c>
      <c r="R24" s="341">
        <f t="shared" si="4"/>
        <v>0</v>
      </c>
      <c r="S24" s="287"/>
      <c r="T24" s="287"/>
      <c r="U24" s="279">
        <f t="shared" si="10"/>
        <v>105.52233179400422</v>
      </c>
      <c r="V24" s="328" t="s">
        <v>440</v>
      </c>
      <c r="W24" s="290"/>
      <c r="X24" s="291">
        <v>3.8849999999999998</v>
      </c>
    </row>
    <row r="25" spans="1:24" ht="17.25" customHeight="1">
      <c r="A25" s="283">
        <f t="shared" si="5"/>
        <v>13</v>
      </c>
      <c r="B25" s="284" t="s">
        <v>1316</v>
      </c>
      <c r="C25" s="292">
        <v>1</v>
      </c>
      <c r="D25" s="293"/>
      <c r="E25" s="287">
        <f t="shared" si="8"/>
        <v>64.984642825397231</v>
      </c>
      <c r="F25" s="280">
        <f t="shared" si="2"/>
        <v>8.6724959697893755</v>
      </c>
      <c r="G25" s="288"/>
      <c r="H25" s="288"/>
      <c r="I25" s="288"/>
      <c r="J25" s="288"/>
      <c r="K25" s="288"/>
      <c r="L25" s="288">
        <f t="shared" si="6"/>
        <v>8.6724959697893755</v>
      </c>
      <c r="M25" s="288"/>
      <c r="N25" s="289">
        <f t="shared" si="3"/>
        <v>0.2</v>
      </c>
      <c r="O25" s="287">
        <f t="shared" si="9"/>
        <v>12.996928565079447</v>
      </c>
      <c r="P25" s="288"/>
      <c r="Q25" s="288">
        <f t="shared" si="7"/>
        <v>1.296</v>
      </c>
      <c r="R25" s="341">
        <f t="shared" si="4"/>
        <v>0</v>
      </c>
      <c r="S25" s="287"/>
      <c r="T25" s="287"/>
      <c r="U25" s="279">
        <f t="shared" si="10"/>
        <v>87.950067360266061</v>
      </c>
      <c r="V25" s="328" t="s">
        <v>440</v>
      </c>
      <c r="W25" s="290"/>
      <c r="X25" s="291">
        <v>3.23</v>
      </c>
    </row>
    <row r="26" spans="1:24" ht="17.25" customHeight="1">
      <c r="A26" s="283">
        <f t="shared" si="5"/>
        <v>14</v>
      </c>
      <c r="B26" s="284" t="s">
        <v>1059</v>
      </c>
      <c r="C26" s="292">
        <v>5</v>
      </c>
      <c r="D26" s="293"/>
      <c r="E26" s="287">
        <f t="shared" si="8"/>
        <v>277.64336563172816</v>
      </c>
      <c r="F26" s="280">
        <f t="shared" si="2"/>
        <v>37.052769158852449</v>
      </c>
      <c r="G26" s="288"/>
      <c r="H26" s="288"/>
      <c r="I26" s="288"/>
      <c r="J26" s="288"/>
      <c r="K26" s="288"/>
      <c r="L26" s="288">
        <f t="shared" si="6"/>
        <v>37.052769158852449</v>
      </c>
      <c r="M26" s="288"/>
      <c r="N26" s="289">
        <f t="shared" si="3"/>
        <v>0.2</v>
      </c>
      <c r="O26" s="287">
        <f t="shared" si="9"/>
        <v>55.528673126345637</v>
      </c>
      <c r="P26" s="288"/>
      <c r="Q26" s="288">
        <f t="shared" si="7"/>
        <v>6.48</v>
      </c>
      <c r="R26" s="341">
        <f t="shared" si="4"/>
        <v>0</v>
      </c>
      <c r="S26" s="287"/>
      <c r="T26" s="287"/>
      <c r="U26" s="279">
        <f t="shared" si="10"/>
        <v>376.70480791692626</v>
      </c>
      <c r="V26" s="328" t="s">
        <v>440</v>
      </c>
      <c r="W26" s="290"/>
      <c r="X26" s="291">
        <v>2.76</v>
      </c>
    </row>
    <row r="27" spans="1:24" ht="31.5">
      <c r="A27" s="283">
        <f t="shared" si="5"/>
        <v>15</v>
      </c>
      <c r="B27" s="513" t="s">
        <v>1317</v>
      </c>
      <c r="C27" s="292">
        <v>1</v>
      </c>
      <c r="D27" s="293"/>
      <c r="E27" s="287">
        <f t="shared" si="8"/>
        <v>78.162643150671272</v>
      </c>
      <c r="F27" s="280">
        <f t="shared" si="2"/>
        <v>10.431160013198674</v>
      </c>
      <c r="G27" s="288"/>
      <c r="H27" s="288"/>
      <c r="I27" s="288"/>
      <c r="J27" s="288"/>
      <c r="K27" s="288"/>
      <c r="L27" s="288">
        <f t="shared" si="6"/>
        <v>10.431160013198674</v>
      </c>
      <c r="M27" s="288"/>
      <c r="N27" s="289">
        <f t="shared" si="3"/>
        <v>0.2</v>
      </c>
      <c r="O27" s="287">
        <f t="shared" si="9"/>
        <v>15.632528630134255</v>
      </c>
      <c r="P27" s="288"/>
      <c r="Q27" s="288">
        <f t="shared" si="7"/>
        <v>1.296</v>
      </c>
      <c r="R27" s="341">
        <f t="shared" si="4"/>
        <v>0</v>
      </c>
      <c r="S27" s="287"/>
      <c r="T27" s="287"/>
      <c r="U27" s="279">
        <f t="shared" si="10"/>
        <v>105.52233179400422</v>
      </c>
      <c r="V27" s="327" t="s">
        <v>439</v>
      </c>
      <c r="W27" s="290"/>
      <c r="X27" s="291">
        <v>3.8849999999999998</v>
      </c>
    </row>
    <row r="28" spans="1:24" ht="15.75">
      <c r="A28" s="283">
        <f t="shared" si="5"/>
        <v>16</v>
      </c>
      <c r="B28" s="284" t="s">
        <v>1318</v>
      </c>
      <c r="C28" s="292">
        <v>1</v>
      </c>
      <c r="D28" s="293"/>
      <c r="E28" s="287">
        <f t="shared" si="8"/>
        <v>61.966780155487143</v>
      </c>
      <c r="F28" s="280">
        <f t="shared" si="2"/>
        <v>8.2697484789322839</v>
      </c>
      <c r="G28" s="288"/>
      <c r="H28" s="288"/>
      <c r="I28" s="288"/>
      <c r="J28" s="288"/>
      <c r="K28" s="288"/>
      <c r="L28" s="288">
        <f t="shared" si="6"/>
        <v>8.2697484789322839</v>
      </c>
      <c r="M28" s="288"/>
      <c r="N28" s="289">
        <f t="shared" si="3"/>
        <v>0.2</v>
      </c>
      <c r="O28" s="287">
        <f t="shared" si="9"/>
        <v>12.393356031097429</v>
      </c>
      <c r="P28" s="288"/>
      <c r="Q28" s="288">
        <f t="shared" si="7"/>
        <v>1.296</v>
      </c>
      <c r="R28" s="341">
        <f t="shared" si="4"/>
        <v>0</v>
      </c>
      <c r="S28" s="287"/>
      <c r="T28" s="287"/>
      <c r="U28" s="279">
        <f t="shared" si="10"/>
        <v>83.925884665516861</v>
      </c>
      <c r="V28" s="328" t="s">
        <v>440</v>
      </c>
      <c r="W28" s="290"/>
      <c r="X28" s="291">
        <v>3.08</v>
      </c>
    </row>
    <row r="29" spans="1:24" ht="15.75">
      <c r="A29" s="283">
        <f t="shared" si="5"/>
        <v>17</v>
      </c>
      <c r="B29" s="284" t="s">
        <v>1319</v>
      </c>
      <c r="C29" s="292">
        <v>1</v>
      </c>
      <c r="D29" s="293"/>
      <c r="E29" s="287">
        <f t="shared" si="8"/>
        <v>68.505482606959006</v>
      </c>
      <c r="F29" s="280">
        <f t="shared" si="2"/>
        <v>9.142368042455983</v>
      </c>
      <c r="G29" s="288"/>
      <c r="H29" s="288"/>
      <c r="I29" s="288"/>
      <c r="J29" s="288"/>
      <c r="K29" s="288"/>
      <c r="L29" s="288">
        <f t="shared" si="6"/>
        <v>9.142368042455983</v>
      </c>
      <c r="M29" s="288"/>
      <c r="N29" s="289">
        <f t="shared" si="3"/>
        <v>0.2</v>
      </c>
      <c r="O29" s="287">
        <f t="shared" si="9"/>
        <v>13.701096521391802</v>
      </c>
      <c r="P29" s="288"/>
      <c r="Q29" s="288">
        <f t="shared" si="7"/>
        <v>1.296</v>
      </c>
      <c r="R29" s="341">
        <f t="shared" si="4"/>
        <v>0</v>
      </c>
      <c r="S29" s="287"/>
      <c r="T29" s="287"/>
      <c r="U29" s="279">
        <f t="shared" si="10"/>
        <v>92.644947170806802</v>
      </c>
      <c r="V29" s="328" t="s">
        <v>440</v>
      </c>
      <c r="W29" s="290"/>
      <c r="X29" s="291">
        <v>3.4049999999999998</v>
      </c>
    </row>
    <row r="30" spans="1:24" ht="17.25" customHeight="1">
      <c r="A30" s="283">
        <f t="shared" si="5"/>
        <v>18</v>
      </c>
      <c r="B30" s="284" t="s">
        <v>1320</v>
      </c>
      <c r="C30" s="292">
        <v>1</v>
      </c>
      <c r="D30" s="293"/>
      <c r="E30" s="287">
        <f t="shared" si="8"/>
        <v>62.872138956460176</v>
      </c>
      <c r="F30" s="280">
        <f t="shared" si="2"/>
        <v>8.3905727261894132</v>
      </c>
      <c r="G30" s="288"/>
      <c r="H30" s="288"/>
      <c r="I30" s="288"/>
      <c r="J30" s="288"/>
      <c r="K30" s="288"/>
      <c r="L30" s="288">
        <f t="shared" si="6"/>
        <v>8.3905727261894132</v>
      </c>
      <c r="M30" s="288"/>
      <c r="N30" s="289">
        <f t="shared" si="3"/>
        <v>0.2</v>
      </c>
      <c r="O30" s="287">
        <f t="shared" si="9"/>
        <v>12.574427791292036</v>
      </c>
      <c r="P30" s="288"/>
      <c r="Q30" s="288">
        <f t="shared" si="7"/>
        <v>1.296</v>
      </c>
      <c r="R30" s="341">
        <f t="shared" si="4"/>
        <v>0</v>
      </c>
      <c r="S30" s="287"/>
      <c r="T30" s="287"/>
      <c r="U30" s="279">
        <f t="shared" si="10"/>
        <v>85.13313947394164</v>
      </c>
      <c r="V30" s="328" t="s">
        <v>440</v>
      </c>
      <c r="W30" s="290"/>
      <c r="X30" s="291">
        <v>3.125</v>
      </c>
    </row>
    <row r="31" spans="1:24" ht="17.25" customHeight="1">
      <c r="A31" s="283">
        <f t="shared" si="5"/>
        <v>19</v>
      </c>
      <c r="B31" s="284" t="s">
        <v>1321</v>
      </c>
      <c r="C31" s="292">
        <v>0</v>
      </c>
      <c r="D31" s="293"/>
      <c r="E31" s="287">
        <f t="shared" si="8"/>
        <v>0</v>
      </c>
      <c r="F31" s="280">
        <f t="shared" si="2"/>
        <v>0</v>
      </c>
      <c r="G31" s="288"/>
      <c r="H31" s="288"/>
      <c r="I31" s="288"/>
      <c r="J31" s="288"/>
      <c r="K31" s="288"/>
      <c r="L31" s="288">
        <f t="shared" si="6"/>
        <v>0</v>
      </c>
      <c r="M31" s="288"/>
      <c r="N31" s="289" t="e">
        <f t="shared" si="3"/>
        <v>#DIV/0!</v>
      </c>
      <c r="O31" s="287">
        <f t="shared" si="9"/>
        <v>0</v>
      </c>
      <c r="P31" s="288"/>
      <c r="Q31" s="288">
        <f t="shared" si="7"/>
        <v>0</v>
      </c>
      <c r="R31" s="341">
        <f t="shared" si="4"/>
        <v>0</v>
      </c>
      <c r="S31" s="287"/>
      <c r="T31" s="287"/>
      <c r="U31" s="279">
        <f t="shared" si="10"/>
        <v>0</v>
      </c>
      <c r="V31" s="328" t="s">
        <v>440</v>
      </c>
      <c r="W31" s="290"/>
      <c r="X31" s="291">
        <v>2.76</v>
      </c>
    </row>
    <row r="32" spans="1:24" ht="31.5">
      <c r="A32" s="283">
        <f t="shared" si="5"/>
        <v>20</v>
      </c>
      <c r="B32" s="513" t="s">
        <v>1322</v>
      </c>
      <c r="C32" s="292">
        <v>1</v>
      </c>
      <c r="D32" s="293"/>
      <c r="E32" s="287">
        <f t="shared" si="8"/>
        <v>81.482292087572375</v>
      </c>
      <c r="F32" s="280">
        <f t="shared" si="2"/>
        <v>10.874182253141477</v>
      </c>
      <c r="G32" s="288"/>
      <c r="H32" s="288"/>
      <c r="I32" s="288"/>
      <c r="J32" s="288"/>
      <c r="K32" s="288"/>
      <c r="L32" s="288">
        <f t="shared" si="6"/>
        <v>10.874182253141477</v>
      </c>
      <c r="M32" s="288"/>
      <c r="N32" s="289">
        <f t="shared" si="3"/>
        <v>0.2</v>
      </c>
      <c r="O32" s="287">
        <f t="shared" si="9"/>
        <v>16.296458417514476</v>
      </c>
      <c r="P32" s="288"/>
      <c r="Q32" s="288">
        <f t="shared" si="7"/>
        <v>1.296</v>
      </c>
      <c r="R32" s="341">
        <f t="shared" si="4"/>
        <v>0</v>
      </c>
      <c r="S32" s="287"/>
      <c r="T32" s="287"/>
      <c r="U32" s="279">
        <f t="shared" si="10"/>
        <v>109.94893275822832</v>
      </c>
      <c r="V32" s="327" t="s">
        <v>439</v>
      </c>
      <c r="W32" s="290"/>
      <c r="X32" s="291">
        <v>4.05</v>
      </c>
    </row>
    <row r="33" spans="1:24" ht="31.5">
      <c r="A33" s="283">
        <f t="shared" si="5"/>
        <v>21</v>
      </c>
      <c r="B33" s="284" t="s">
        <v>1323</v>
      </c>
      <c r="C33" s="292">
        <v>1</v>
      </c>
      <c r="D33" s="293"/>
      <c r="E33" s="287">
        <f t="shared" si="8"/>
        <v>68.505482606959006</v>
      </c>
      <c r="F33" s="280">
        <f>SUM(G33:M33)</f>
        <v>9.142368042455983</v>
      </c>
      <c r="G33" s="288"/>
      <c r="H33" s="288"/>
      <c r="I33" s="288"/>
      <c r="J33" s="288"/>
      <c r="K33" s="288"/>
      <c r="L33" s="288">
        <f t="shared" si="6"/>
        <v>9.142368042455983</v>
      </c>
      <c r="M33" s="288"/>
      <c r="N33" s="289">
        <f>O33/E33</f>
        <v>0.2</v>
      </c>
      <c r="O33" s="287">
        <f t="shared" si="9"/>
        <v>13.701096521391802</v>
      </c>
      <c r="P33" s="288"/>
      <c r="Q33" s="288">
        <f t="shared" si="7"/>
        <v>1.296</v>
      </c>
      <c r="R33" s="341">
        <f>SUM(S33:T33)</f>
        <v>0</v>
      </c>
      <c r="S33" s="287"/>
      <c r="T33" s="287"/>
      <c r="U33" s="279">
        <f>E33+F33+O33+P33+Q33+R33</f>
        <v>92.644947170806802</v>
      </c>
      <c r="V33" s="328" t="s">
        <v>440</v>
      </c>
      <c r="W33" s="290"/>
      <c r="X33" s="291">
        <v>3.4049999999999998</v>
      </c>
    </row>
    <row r="34" spans="1:24" ht="31.5">
      <c r="A34" s="283">
        <f t="shared" si="5"/>
        <v>22</v>
      </c>
      <c r="B34" s="284" t="s">
        <v>1324</v>
      </c>
      <c r="C34" s="292">
        <v>1</v>
      </c>
      <c r="D34" s="293"/>
      <c r="E34" s="287">
        <f t="shared" si="8"/>
        <v>61.966780155487143</v>
      </c>
      <c r="F34" s="280">
        <f>SUM(G34:M34)</f>
        <v>8.2697484789322839</v>
      </c>
      <c r="G34" s="288"/>
      <c r="H34" s="288"/>
      <c r="I34" s="288"/>
      <c r="J34" s="288"/>
      <c r="K34" s="288"/>
      <c r="L34" s="288">
        <f t="shared" si="6"/>
        <v>8.2697484789322839</v>
      </c>
      <c r="M34" s="288"/>
      <c r="N34" s="289">
        <f>O34/E34</f>
        <v>0.2</v>
      </c>
      <c r="O34" s="287">
        <f t="shared" si="9"/>
        <v>12.393356031097429</v>
      </c>
      <c r="P34" s="288"/>
      <c r="Q34" s="288">
        <f t="shared" si="7"/>
        <v>1.296</v>
      </c>
      <c r="R34" s="341">
        <f>SUM(S34:T34)</f>
        <v>0</v>
      </c>
      <c r="S34" s="287"/>
      <c r="T34" s="287"/>
      <c r="U34" s="279">
        <f>E34+F34+O34+P34+Q34+R34</f>
        <v>83.925884665516861</v>
      </c>
      <c r="V34" s="328" t="s">
        <v>440</v>
      </c>
      <c r="W34" s="290"/>
      <c r="X34" s="291">
        <v>3.08</v>
      </c>
    </row>
    <row r="35" spans="1:24" ht="15.75">
      <c r="A35" s="283">
        <f t="shared" si="5"/>
        <v>23</v>
      </c>
      <c r="B35" s="284" t="s">
        <v>1325</v>
      </c>
      <c r="C35" s="292">
        <v>2</v>
      </c>
      <c r="D35" s="293"/>
      <c r="E35" s="287">
        <f t="shared" si="8"/>
        <v>123.93356031097429</v>
      </c>
      <c r="F35" s="280">
        <f t="shared" si="2"/>
        <v>16.539496957864568</v>
      </c>
      <c r="G35" s="288"/>
      <c r="H35" s="288"/>
      <c r="I35" s="288"/>
      <c r="J35" s="288"/>
      <c r="K35" s="288"/>
      <c r="L35" s="288">
        <f t="shared" si="6"/>
        <v>16.539496957864568</v>
      </c>
      <c r="M35" s="288"/>
      <c r="N35" s="289">
        <f t="shared" si="3"/>
        <v>0.2</v>
      </c>
      <c r="O35" s="287">
        <f t="shared" si="9"/>
        <v>24.786712062194859</v>
      </c>
      <c r="P35" s="288"/>
      <c r="Q35" s="288">
        <f t="shared" si="7"/>
        <v>2.5920000000000001</v>
      </c>
      <c r="R35" s="341">
        <f t="shared" si="4"/>
        <v>0</v>
      </c>
      <c r="S35" s="287"/>
      <c r="T35" s="287"/>
      <c r="U35" s="279">
        <f t="shared" si="10"/>
        <v>167.85176933103372</v>
      </c>
      <c r="V35" s="328" t="s">
        <v>440</v>
      </c>
      <c r="W35" s="290"/>
      <c r="X35" s="291">
        <v>3.08</v>
      </c>
    </row>
    <row r="36" spans="1:24" ht="15.75">
      <c r="A36" s="283">
        <f t="shared" si="5"/>
        <v>24</v>
      </c>
      <c r="B36" s="284" t="s">
        <v>1326</v>
      </c>
      <c r="C36" s="292">
        <v>1</v>
      </c>
      <c r="D36" s="293"/>
      <c r="E36" s="287">
        <f t="shared" si="8"/>
        <v>55.528673126345623</v>
      </c>
      <c r="F36" s="280">
        <f>SUM(G36:M36)</f>
        <v>7.4105538317704882</v>
      </c>
      <c r="G36" s="288"/>
      <c r="H36" s="288"/>
      <c r="I36" s="288"/>
      <c r="J36" s="288"/>
      <c r="K36" s="288"/>
      <c r="L36" s="288">
        <f t="shared" si="6"/>
        <v>7.4105538317704882</v>
      </c>
      <c r="M36" s="288"/>
      <c r="N36" s="289">
        <f>O36/E36</f>
        <v>0.2</v>
      </c>
      <c r="O36" s="287">
        <f t="shared" si="9"/>
        <v>11.105734625269125</v>
      </c>
      <c r="P36" s="288"/>
      <c r="Q36" s="288">
        <f t="shared" si="7"/>
        <v>1.296</v>
      </c>
      <c r="R36" s="341">
        <f>SUM(S36:T36)</f>
        <v>0</v>
      </c>
      <c r="S36" s="287"/>
      <c r="T36" s="287"/>
      <c r="U36" s="279">
        <f>E36+F36+O36+P36+Q36+R36</f>
        <v>75.340961583385237</v>
      </c>
      <c r="V36" s="328" t="s">
        <v>440</v>
      </c>
      <c r="W36" s="290"/>
      <c r="X36" s="291">
        <v>2.76</v>
      </c>
    </row>
    <row r="37" spans="1:24" ht="15.75">
      <c r="A37" s="283">
        <f t="shared" si="5"/>
        <v>25</v>
      </c>
      <c r="B37" s="284" t="s">
        <v>1327</v>
      </c>
      <c r="C37" s="292">
        <v>1</v>
      </c>
      <c r="D37" s="293"/>
      <c r="E37" s="287">
        <f t="shared" si="8"/>
        <v>55.528673126345623</v>
      </c>
      <c r="F37" s="280">
        <f t="shared" si="2"/>
        <v>7.4105538317704882</v>
      </c>
      <c r="G37" s="288"/>
      <c r="H37" s="288"/>
      <c r="I37" s="288"/>
      <c r="J37" s="288"/>
      <c r="K37" s="288"/>
      <c r="L37" s="288">
        <f t="shared" si="6"/>
        <v>7.4105538317704882</v>
      </c>
      <c r="M37" s="288"/>
      <c r="N37" s="289">
        <f t="shared" si="3"/>
        <v>0.2</v>
      </c>
      <c r="O37" s="287">
        <f t="shared" si="9"/>
        <v>11.105734625269125</v>
      </c>
      <c r="P37" s="288"/>
      <c r="Q37" s="288">
        <f t="shared" si="7"/>
        <v>1.296</v>
      </c>
      <c r="R37" s="341">
        <f t="shared" si="4"/>
        <v>0</v>
      </c>
      <c r="S37" s="287"/>
      <c r="T37" s="287"/>
      <c r="U37" s="279">
        <f t="shared" si="10"/>
        <v>75.340961583385237</v>
      </c>
      <c r="V37" s="328" t="s">
        <v>440</v>
      </c>
      <c r="W37" s="290"/>
      <c r="X37" s="291">
        <v>2.76</v>
      </c>
    </row>
    <row r="38" spans="1:24" ht="31.5">
      <c r="A38" s="283">
        <f t="shared" si="5"/>
        <v>26</v>
      </c>
      <c r="B38" s="284" t="s">
        <v>1328</v>
      </c>
      <c r="C38" s="292">
        <v>1</v>
      </c>
      <c r="D38" s="293"/>
      <c r="E38" s="287">
        <f t="shared" si="8"/>
        <v>68.505482606959006</v>
      </c>
      <c r="F38" s="280">
        <f t="shared" si="2"/>
        <v>9.142368042455983</v>
      </c>
      <c r="G38" s="288"/>
      <c r="H38" s="288"/>
      <c r="I38" s="288"/>
      <c r="J38" s="288"/>
      <c r="K38" s="288"/>
      <c r="L38" s="288">
        <f t="shared" si="6"/>
        <v>9.142368042455983</v>
      </c>
      <c r="M38" s="288"/>
      <c r="N38" s="289">
        <f t="shared" si="3"/>
        <v>0.2</v>
      </c>
      <c r="O38" s="287">
        <f t="shared" si="9"/>
        <v>13.701096521391802</v>
      </c>
      <c r="P38" s="288"/>
      <c r="Q38" s="288">
        <f t="shared" si="7"/>
        <v>1.296</v>
      </c>
      <c r="R38" s="341">
        <f t="shared" si="4"/>
        <v>0</v>
      </c>
      <c r="S38" s="287"/>
      <c r="T38" s="287"/>
      <c r="U38" s="279">
        <f t="shared" si="10"/>
        <v>92.644947170806802</v>
      </c>
      <c r="V38" s="328" t="s">
        <v>440</v>
      </c>
      <c r="W38" s="290"/>
      <c r="X38" s="291">
        <v>3.4049999999999998</v>
      </c>
    </row>
    <row r="39" spans="1:24" ht="17.25" customHeight="1">
      <c r="A39" s="283">
        <f t="shared" si="5"/>
        <v>27</v>
      </c>
      <c r="B39" s="284" t="s">
        <v>1329</v>
      </c>
      <c r="C39" s="292">
        <v>0</v>
      </c>
      <c r="D39" s="293"/>
      <c r="E39" s="287">
        <f t="shared" si="8"/>
        <v>0</v>
      </c>
      <c r="F39" s="280">
        <f t="shared" si="2"/>
        <v>0</v>
      </c>
      <c r="G39" s="288"/>
      <c r="H39" s="288"/>
      <c r="I39" s="288"/>
      <c r="J39" s="288"/>
      <c r="K39" s="288"/>
      <c r="L39" s="288">
        <f t="shared" si="6"/>
        <v>0</v>
      </c>
      <c r="M39" s="288"/>
      <c r="N39" s="289" t="e">
        <f t="shared" si="3"/>
        <v>#DIV/0!</v>
      </c>
      <c r="O39" s="287">
        <f t="shared" si="9"/>
        <v>0</v>
      </c>
      <c r="P39" s="288"/>
      <c r="Q39" s="288">
        <f t="shared" si="7"/>
        <v>0</v>
      </c>
      <c r="R39" s="341">
        <f t="shared" si="4"/>
        <v>0</v>
      </c>
      <c r="S39" s="287"/>
      <c r="T39" s="287"/>
      <c r="U39" s="279">
        <f t="shared" si="10"/>
        <v>0</v>
      </c>
      <c r="V39" s="328" t="s">
        <v>440</v>
      </c>
      <c r="W39" s="290"/>
      <c r="X39" s="291">
        <v>2.76</v>
      </c>
    </row>
    <row r="40" spans="1:24" ht="15.75">
      <c r="A40" s="283">
        <f t="shared" si="5"/>
        <v>28</v>
      </c>
      <c r="B40" s="513" t="s">
        <v>1330</v>
      </c>
      <c r="C40" s="292">
        <v>1</v>
      </c>
      <c r="D40" s="293"/>
      <c r="E40" s="287">
        <f t="shared" si="8"/>
        <v>81.482292087572375</v>
      </c>
      <c r="F40" s="280">
        <f t="shared" si="2"/>
        <v>10.874182253141477</v>
      </c>
      <c r="G40" s="288"/>
      <c r="H40" s="288"/>
      <c r="I40" s="288"/>
      <c r="J40" s="288"/>
      <c r="K40" s="288"/>
      <c r="L40" s="288">
        <f t="shared" si="6"/>
        <v>10.874182253141477</v>
      </c>
      <c r="M40" s="288"/>
      <c r="N40" s="289">
        <f t="shared" si="3"/>
        <v>0.2</v>
      </c>
      <c r="O40" s="287">
        <f t="shared" si="9"/>
        <v>16.296458417514476</v>
      </c>
      <c r="P40" s="288"/>
      <c r="Q40" s="288">
        <f t="shared" si="7"/>
        <v>1.296</v>
      </c>
      <c r="R40" s="341">
        <f t="shared" si="4"/>
        <v>0</v>
      </c>
      <c r="S40" s="287"/>
      <c r="T40" s="287"/>
      <c r="U40" s="279">
        <f t="shared" si="10"/>
        <v>109.94893275822832</v>
      </c>
      <c r="V40" s="327" t="s">
        <v>439</v>
      </c>
      <c r="W40" s="290"/>
      <c r="X40" s="291">
        <v>4.05</v>
      </c>
    </row>
    <row r="41" spans="1:24" ht="15.75">
      <c r="A41" s="283">
        <f t="shared" si="5"/>
        <v>29</v>
      </c>
      <c r="B41" s="284" t="s">
        <v>1331</v>
      </c>
      <c r="C41" s="292">
        <v>1</v>
      </c>
      <c r="D41" s="293"/>
      <c r="E41" s="287">
        <f t="shared" si="8"/>
        <v>68.505482606959006</v>
      </c>
      <c r="F41" s="280">
        <f t="shared" si="2"/>
        <v>9.142368042455983</v>
      </c>
      <c r="G41" s="288"/>
      <c r="H41" s="288"/>
      <c r="I41" s="288"/>
      <c r="J41" s="288"/>
      <c r="K41" s="288"/>
      <c r="L41" s="288">
        <f t="shared" si="6"/>
        <v>9.142368042455983</v>
      </c>
      <c r="M41" s="288"/>
      <c r="N41" s="289">
        <f t="shared" si="3"/>
        <v>0.2</v>
      </c>
      <c r="O41" s="287">
        <f t="shared" si="9"/>
        <v>13.701096521391802</v>
      </c>
      <c r="P41" s="288"/>
      <c r="Q41" s="288">
        <f t="shared" si="7"/>
        <v>1.296</v>
      </c>
      <c r="R41" s="341">
        <f t="shared" si="4"/>
        <v>0</v>
      </c>
      <c r="S41" s="287"/>
      <c r="T41" s="287"/>
      <c r="U41" s="279">
        <f t="shared" si="10"/>
        <v>92.644947170806802</v>
      </c>
      <c r="V41" s="328" t="s">
        <v>440</v>
      </c>
      <c r="W41" s="290"/>
      <c r="X41" s="291">
        <v>3.4049999999999998</v>
      </c>
    </row>
    <row r="42" spans="1:24" ht="15.75">
      <c r="A42" s="283">
        <f t="shared" si="5"/>
        <v>30</v>
      </c>
      <c r="B42" s="284" t="s">
        <v>1332</v>
      </c>
      <c r="C42" s="292">
        <v>1</v>
      </c>
      <c r="D42" s="293"/>
      <c r="E42" s="287">
        <f t="shared" si="8"/>
        <v>61.966780155487143</v>
      </c>
      <c r="F42" s="280">
        <f t="shared" si="2"/>
        <v>8.2697484789322839</v>
      </c>
      <c r="G42" s="288"/>
      <c r="H42" s="288"/>
      <c r="I42" s="288"/>
      <c r="J42" s="288"/>
      <c r="K42" s="288"/>
      <c r="L42" s="288">
        <f t="shared" si="6"/>
        <v>8.2697484789322839</v>
      </c>
      <c r="M42" s="288"/>
      <c r="N42" s="289">
        <f t="shared" si="3"/>
        <v>0.2</v>
      </c>
      <c r="O42" s="287">
        <f t="shared" si="9"/>
        <v>12.393356031097429</v>
      </c>
      <c r="P42" s="288"/>
      <c r="Q42" s="288">
        <f t="shared" si="7"/>
        <v>1.296</v>
      </c>
      <c r="R42" s="341">
        <f t="shared" si="4"/>
        <v>0</v>
      </c>
      <c r="S42" s="287"/>
      <c r="T42" s="287"/>
      <c r="U42" s="279">
        <f t="shared" si="10"/>
        <v>83.925884665516861</v>
      </c>
      <c r="V42" s="328" t="s">
        <v>440</v>
      </c>
      <c r="W42" s="290"/>
      <c r="X42" s="291">
        <v>3.08</v>
      </c>
    </row>
    <row r="43" spans="1:24" ht="31.35" customHeight="1">
      <c r="A43" s="283">
        <f t="shared" si="5"/>
        <v>31</v>
      </c>
      <c r="B43" s="284" t="s">
        <v>1333</v>
      </c>
      <c r="C43" s="292">
        <v>1</v>
      </c>
      <c r="D43" s="293"/>
      <c r="E43" s="287">
        <f t="shared" si="8"/>
        <v>78.162643150671272</v>
      </c>
      <c r="F43" s="280">
        <f>SUM(G43:M43)</f>
        <v>10.431160013198674</v>
      </c>
      <c r="G43" s="288"/>
      <c r="H43" s="288"/>
      <c r="I43" s="288"/>
      <c r="J43" s="288"/>
      <c r="K43" s="288"/>
      <c r="L43" s="288">
        <f t="shared" si="6"/>
        <v>10.431160013198674</v>
      </c>
      <c r="M43" s="288"/>
      <c r="N43" s="289">
        <f>O43/E43</f>
        <v>0.2</v>
      </c>
      <c r="O43" s="287">
        <f t="shared" si="9"/>
        <v>15.632528630134255</v>
      </c>
      <c r="P43" s="288"/>
      <c r="Q43" s="288">
        <f t="shared" si="7"/>
        <v>1.296</v>
      </c>
      <c r="R43" s="341">
        <f>SUM(S43:T43)</f>
        <v>0</v>
      </c>
      <c r="S43" s="287"/>
      <c r="T43" s="287"/>
      <c r="U43" s="279">
        <f>E43+F43+O43+P43+Q43+R43</f>
        <v>105.52233179400422</v>
      </c>
      <c r="V43" s="327" t="s">
        <v>439</v>
      </c>
      <c r="W43" s="290"/>
      <c r="X43" s="291">
        <v>3.8849999999999998</v>
      </c>
    </row>
    <row r="44" spans="1:24" ht="15.75">
      <c r="A44" s="283">
        <f t="shared" si="5"/>
        <v>32</v>
      </c>
      <c r="B44" s="284" t="s">
        <v>1334</v>
      </c>
      <c r="C44" s="292">
        <v>1</v>
      </c>
      <c r="D44" s="293"/>
      <c r="E44" s="287">
        <f t="shared" si="8"/>
        <v>61.966780155487143</v>
      </c>
      <c r="F44" s="280">
        <f>SUM(G44:M44)</f>
        <v>8.2697484789322839</v>
      </c>
      <c r="G44" s="288"/>
      <c r="H44" s="288"/>
      <c r="I44" s="288"/>
      <c r="J44" s="288"/>
      <c r="K44" s="288"/>
      <c r="L44" s="288">
        <f t="shared" si="6"/>
        <v>8.2697484789322839</v>
      </c>
      <c r="M44" s="288"/>
      <c r="N44" s="289">
        <f>O44/E44</f>
        <v>0.2</v>
      </c>
      <c r="O44" s="287">
        <f t="shared" si="9"/>
        <v>12.393356031097429</v>
      </c>
      <c r="P44" s="288"/>
      <c r="Q44" s="288">
        <f t="shared" si="7"/>
        <v>1.296</v>
      </c>
      <c r="R44" s="341">
        <f>SUM(S44:T44)</f>
        <v>0</v>
      </c>
      <c r="S44" s="287"/>
      <c r="T44" s="287"/>
      <c r="U44" s="279">
        <f>E44+F44+O44+P44+Q44+R44</f>
        <v>83.925884665516861</v>
      </c>
      <c r="V44" s="328" t="s">
        <v>440</v>
      </c>
      <c r="W44" s="290"/>
      <c r="X44" s="291">
        <v>3.08</v>
      </c>
    </row>
    <row r="45" spans="1:24" ht="15.75">
      <c r="A45" s="283">
        <f t="shared" si="5"/>
        <v>33</v>
      </c>
      <c r="B45" s="284" t="s">
        <v>1335</v>
      </c>
      <c r="C45" s="292">
        <v>1</v>
      </c>
      <c r="D45" s="293"/>
      <c r="E45" s="287">
        <f t="shared" si="8"/>
        <v>55.528673126345623</v>
      </c>
      <c r="F45" s="280">
        <f>SUM(G45:M45)</f>
        <v>7.4105538317704882</v>
      </c>
      <c r="G45" s="288"/>
      <c r="H45" s="288"/>
      <c r="I45" s="288"/>
      <c r="J45" s="288"/>
      <c r="K45" s="288"/>
      <c r="L45" s="288">
        <f t="shared" si="6"/>
        <v>7.4105538317704882</v>
      </c>
      <c r="M45" s="288"/>
      <c r="N45" s="289">
        <f>O45/E45</f>
        <v>0.2</v>
      </c>
      <c r="O45" s="287">
        <f t="shared" si="9"/>
        <v>11.105734625269125</v>
      </c>
      <c r="P45" s="288"/>
      <c r="Q45" s="288">
        <f t="shared" si="7"/>
        <v>1.296</v>
      </c>
      <c r="R45" s="341">
        <f>SUM(S45:T45)</f>
        <v>0</v>
      </c>
      <c r="S45" s="287"/>
      <c r="T45" s="287"/>
      <c r="U45" s="279">
        <f>E45+F45+O45+P45+Q45+R45</f>
        <v>75.340961583385237</v>
      </c>
      <c r="V45" s="328" t="s">
        <v>440</v>
      </c>
      <c r="W45" s="290"/>
      <c r="X45" s="291">
        <v>2.76</v>
      </c>
    </row>
    <row r="46" spans="1:24" ht="17.25" customHeight="1">
      <c r="A46" s="283">
        <f t="shared" si="5"/>
        <v>34</v>
      </c>
      <c r="B46" s="513" t="s">
        <v>1336</v>
      </c>
      <c r="C46" s="292">
        <v>1</v>
      </c>
      <c r="D46" s="293"/>
      <c r="E46" s="287">
        <f t="shared" si="8"/>
        <v>74.943589636100526</v>
      </c>
      <c r="F46" s="280">
        <f t="shared" si="2"/>
        <v>10.00156268961778</v>
      </c>
      <c r="G46" s="288"/>
      <c r="H46" s="288"/>
      <c r="I46" s="288"/>
      <c r="J46" s="288"/>
      <c r="K46" s="288"/>
      <c r="L46" s="288">
        <f t="shared" si="6"/>
        <v>10.00156268961778</v>
      </c>
      <c r="M46" s="288"/>
      <c r="N46" s="289">
        <f t="shared" si="3"/>
        <v>0.2</v>
      </c>
      <c r="O46" s="287">
        <f t="shared" si="9"/>
        <v>14.988717927220106</v>
      </c>
      <c r="P46" s="288"/>
      <c r="Q46" s="288">
        <f t="shared" si="7"/>
        <v>1.296</v>
      </c>
      <c r="R46" s="341">
        <f t="shared" si="4"/>
        <v>0</v>
      </c>
      <c r="S46" s="287"/>
      <c r="T46" s="287"/>
      <c r="U46" s="279">
        <f t="shared" si="10"/>
        <v>101.22987025293843</v>
      </c>
      <c r="V46" s="327" t="s">
        <v>439</v>
      </c>
      <c r="W46" s="290"/>
      <c r="X46" s="291">
        <v>3.7250000000000001</v>
      </c>
    </row>
    <row r="47" spans="1:24" ht="15.75">
      <c r="A47" s="283">
        <f t="shared" si="5"/>
        <v>35</v>
      </c>
      <c r="B47" s="284" t="s">
        <v>1337</v>
      </c>
      <c r="C47" s="292">
        <v>1</v>
      </c>
      <c r="D47" s="293"/>
      <c r="E47" s="287">
        <f t="shared" si="8"/>
        <v>48.889375252543424</v>
      </c>
      <c r="F47" s="280">
        <f t="shared" si="2"/>
        <v>6.5245093518848858</v>
      </c>
      <c r="G47" s="288"/>
      <c r="H47" s="288"/>
      <c r="I47" s="288"/>
      <c r="J47" s="288"/>
      <c r="K47" s="288"/>
      <c r="L47" s="288">
        <f t="shared" si="6"/>
        <v>6.5245093518848858</v>
      </c>
      <c r="M47" s="288"/>
      <c r="N47" s="289">
        <f t="shared" si="3"/>
        <v>0.2</v>
      </c>
      <c r="O47" s="287">
        <f t="shared" si="9"/>
        <v>9.7778750505086851</v>
      </c>
      <c r="P47" s="288"/>
      <c r="Q47" s="288">
        <f t="shared" si="7"/>
        <v>1.296</v>
      </c>
      <c r="R47" s="341">
        <f t="shared" si="4"/>
        <v>0</v>
      </c>
      <c r="S47" s="287"/>
      <c r="T47" s="287"/>
      <c r="U47" s="279">
        <f t="shared" si="10"/>
        <v>66.487759654937008</v>
      </c>
      <c r="V47" s="329" t="s">
        <v>441</v>
      </c>
      <c r="W47" s="290"/>
      <c r="X47" s="291">
        <v>2.4300000000000002</v>
      </c>
    </row>
    <row r="48" spans="1:24" ht="17.25" customHeight="1">
      <c r="A48" s="283">
        <f t="shared" si="5"/>
        <v>36</v>
      </c>
      <c r="B48" s="284" t="s">
        <v>1338</v>
      </c>
      <c r="C48" s="292">
        <v>1</v>
      </c>
      <c r="D48" s="293"/>
      <c r="E48" s="287">
        <f t="shared" si="8"/>
        <v>42.55186364573224</v>
      </c>
      <c r="F48" s="280">
        <f t="shared" si="2"/>
        <v>5.6787396210849934</v>
      </c>
      <c r="G48" s="288"/>
      <c r="H48" s="288"/>
      <c r="I48" s="288"/>
      <c r="J48" s="288"/>
      <c r="K48" s="288"/>
      <c r="L48" s="288">
        <f t="shared" si="6"/>
        <v>5.6787396210849934</v>
      </c>
      <c r="M48" s="288"/>
      <c r="N48" s="289">
        <f t="shared" si="3"/>
        <v>0.2</v>
      </c>
      <c r="O48" s="287">
        <f t="shared" si="9"/>
        <v>8.5103727291464484</v>
      </c>
      <c r="P48" s="288"/>
      <c r="Q48" s="288">
        <f t="shared" si="7"/>
        <v>1.296</v>
      </c>
      <c r="R48" s="341">
        <f t="shared" si="4"/>
        <v>0</v>
      </c>
      <c r="S48" s="287"/>
      <c r="T48" s="287"/>
      <c r="U48" s="279">
        <f t="shared" si="10"/>
        <v>58.03697599596368</v>
      </c>
      <c r="V48" s="329" t="s">
        <v>441</v>
      </c>
      <c r="W48" s="290"/>
      <c r="X48" s="291">
        <v>2.1150000000000002</v>
      </c>
    </row>
    <row r="49" spans="1:24" ht="15.75">
      <c r="A49" s="283">
        <f t="shared" si="5"/>
        <v>37</v>
      </c>
      <c r="B49" s="513" t="s">
        <v>1056</v>
      </c>
      <c r="C49" s="292">
        <v>1</v>
      </c>
      <c r="D49" s="293"/>
      <c r="E49" s="287">
        <f t="shared" si="8"/>
        <v>75.748353014743216</v>
      </c>
      <c r="F49" s="280">
        <f t="shared" si="2"/>
        <v>10.108962020513003</v>
      </c>
      <c r="G49" s="288"/>
      <c r="H49" s="288"/>
      <c r="I49" s="288"/>
      <c r="J49" s="288"/>
      <c r="K49" s="288"/>
      <c r="L49" s="288">
        <f t="shared" si="6"/>
        <v>10.108962020513003</v>
      </c>
      <c r="M49" s="288"/>
      <c r="N49" s="289">
        <f t="shared" si="3"/>
        <v>0.2</v>
      </c>
      <c r="O49" s="287">
        <f t="shared" si="9"/>
        <v>15.149670602948644</v>
      </c>
      <c r="P49" s="288"/>
      <c r="Q49" s="288">
        <f t="shared" si="7"/>
        <v>1.296</v>
      </c>
      <c r="R49" s="341">
        <f t="shared" si="4"/>
        <v>0</v>
      </c>
      <c r="S49" s="287"/>
      <c r="T49" s="287"/>
      <c r="U49" s="279">
        <f t="shared" si="10"/>
        <v>102.30298563820487</v>
      </c>
      <c r="V49" s="327" t="s">
        <v>439</v>
      </c>
      <c r="W49" s="290"/>
      <c r="X49" s="291">
        <v>3.7650000000000001</v>
      </c>
    </row>
    <row r="50" spans="1:24" ht="17.25" customHeight="1">
      <c r="A50" s="283">
        <f t="shared" si="5"/>
        <v>38</v>
      </c>
      <c r="B50" s="284" t="s">
        <v>1339</v>
      </c>
      <c r="C50" s="292">
        <v>2</v>
      </c>
      <c r="D50" s="293"/>
      <c r="E50" s="287">
        <f t="shared" si="8"/>
        <v>137.01096521391801</v>
      </c>
      <c r="F50" s="280">
        <f t="shared" si="2"/>
        <v>26.505393997747046</v>
      </c>
      <c r="G50" s="288"/>
      <c r="H50" s="288"/>
      <c r="I50" s="288"/>
      <c r="J50" s="288"/>
      <c r="K50" s="288"/>
      <c r="L50" s="288">
        <f t="shared" si="6"/>
        <v>18.284736084911966</v>
      </c>
      <c r="M50" s="288">
        <f>E50*0.12/2</f>
        <v>8.2206579128350796</v>
      </c>
      <c r="N50" s="289">
        <f t="shared" si="3"/>
        <v>0.2</v>
      </c>
      <c r="O50" s="287">
        <f t="shared" si="9"/>
        <v>27.402193042783605</v>
      </c>
      <c r="P50" s="288"/>
      <c r="Q50" s="288">
        <f t="shared" si="7"/>
        <v>2.5920000000000001</v>
      </c>
      <c r="R50" s="341">
        <f t="shared" si="4"/>
        <v>0</v>
      </c>
      <c r="S50" s="287"/>
      <c r="T50" s="287"/>
      <c r="U50" s="279">
        <f t="shared" si="10"/>
        <v>193.51055225444867</v>
      </c>
      <c r="V50" s="328" t="s">
        <v>440</v>
      </c>
      <c r="W50" s="290"/>
      <c r="X50" s="291">
        <v>3.4049999999999998</v>
      </c>
    </row>
    <row r="51" spans="1:24" ht="17.25" customHeight="1">
      <c r="A51" s="283">
        <f t="shared" si="5"/>
        <v>39</v>
      </c>
      <c r="B51" s="284" t="s">
        <v>1340</v>
      </c>
      <c r="C51" s="292"/>
      <c r="D51" s="293"/>
      <c r="E51" s="287">
        <f t="shared" si="8"/>
        <v>0</v>
      </c>
      <c r="F51" s="280">
        <f t="shared" si="2"/>
        <v>0</v>
      </c>
      <c r="G51" s="288"/>
      <c r="H51" s="288"/>
      <c r="I51" s="288"/>
      <c r="J51" s="288"/>
      <c r="K51" s="288"/>
      <c r="L51" s="288">
        <f t="shared" si="6"/>
        <v>0</v>
      </c>
      <c r="M51" s="288"/>
      <c r="N51" s="289" t="e">
        <f t="shared" si="3"/>
        <v>#DIV/0!</v>
      </c>
      <c r="O51" s="287">
        <f t="shared" si="9"/>
        <v>0</v>
      </c>
      <c r="P51" s="288"/>
      <c r="Q51" s="288">
        <f t="shared" si="7"/>
        <v>0</v>
      </c>
      <c r="R51" s="341">
        <f t="shared" si="4"/>
        <v>0</v>
      </c>
      <c r="S51" s="287"/>
      <c r="T51" s="287"/>
      <c r="U51" s="279">
        <f t="shared" si="10"/>
        <v>0</v>
      </c>
      <c r="V51" s="328" t="s">
        <v>440</v>
      </c>
      <c r="W51" s="290"/>
      <c r="X51" s="291">
        <v>2.76</v>
      </c>
    </row>
    <row r="52" spans="1:24" ht="17.25" customHeight="1">
      <c r="A52" s="283">
        <f>A50+1</f>
        <v>39</v>
      </c>
      <c r="B52" s="513" t="s">
        <v>1341</v>
      </c>
      <c r="C52" s="292">
        <v>1</v>
      </c>
      <c r="D52" s="293"/>
      <c r="E52" s="287">
        <f t="shared" si="8"/>
        <v>78.162643150671272</v>
      </c>
      <c r="F52" s="280">
        <f t="shared" si="2"/>
        <v>10.431160013198674</v>
      </c>
      <c r="G52" s="288"/>
      <c r="H52" s="288"/>
      <c r="I52" s="288"/>
      <c r="J52" s="288"/>
      <c r="K52" s="288"/>
      <c r="L52" s="288">
        <f t="shared" si="6"/>
        <v>10.431160013198674</v>
      </c>
      <c r="M52" s="288"/>
      <c r="N52" s="289">
        <f t="shared" si="3"/>
        <v>0.2</v>
      </c>
      <c r="O52" s="287">
        <f t="shared" si="9"/>
        <v>15.632528630134255</v>
      </c>
      <c r="P52" s="288"/>
      <c r="Q52" s="288">
        <f t="shared" si="7"/>
        <v>1.296</v>
      </c>
      <c r="R52" s="341">
        <f t="shared" si="4"/>
        <v>0</v>
      </c>
      <c r="S52" s="287"/>
      <c r="T52" s="287"/>
      <c r="U52" s="279">
        <f t="shared" si="10"/>
        <v>105.52233179400422</v>
      </c>
      <c r="V52" s="327" t="s">
        <v>439</v>
      </c>
      <c r="W52" s="290"/>
      <c r="X52" s="291">
        <v>3.8849999999999998</v>
      </c>
    </row>
    <row r="53" spans="1:24" ht="17.25" customHeight="1">
      <c r="A53" s="283">
        <f t="shared" si="5"/>
        <v>40</v>
      </c>
      <c r="B53" s="284" t="s">
        <v>1342</v>
      </c>
      <c r="C53" s="292">
        <v>2</v>
      </c>
      <c r="D53" s="293"/>
      <c r="E53" s="287">
        <f t="shared" si="8"/>
        <v>123.93356031097429</v>
      </c>
      <c r="F53" s="280">
        <f t="shared" si="2"/>
        <v>16.539496957864568</v>
      </c>
      <c r="G53" s="288"/>
      <c r="H53" s="288"/>
      <c r="I53" s="288"/>
      <c r="J53" s="288"/>
      <c r="K53" s="288"/>
      <c r="L53" s="288">
        <f t="shared" si="6"/>
        <v>16.539496957864568</v>
      </c>
      <c r="M53" s="288"/>
      <c r="N53" s="289">
        <f t="shared" si="3"/>
        <v>0.2</v>
      </c>
      <c r="O53" s="287">
        <f t="shared" si="9"/>
        <v>24.786712062194859</v>
      </c>
      <c r="P53" s="288"/>
      <c r="Q53" s="288">
        <f t="shared" si="7"/>
        <v>2.5920000000000001</v>
      </c>
      <c r="R53" s="341">
        <f t="shared" si="4"/>
        <v>0</v>
      </c>
      <c r="S53" s="287"/>
      <c r="T53" s="287"/>
      <c r="U53" s="279">
        <f t="shared" si="10"/>
        <v>167.85176933103372</v>
      </c>
      <c r="V53" s="328" t="s">
        <v>440</v>
      </c>
      <c r="W53" s="290"/>
      <c r="X53" s="291">
        <v>3.08</v>
      </c>
    </row>
    <row r="54" spans="1:24" ht="17.25" customHeight="1">
      <c r="A54" s="283">
        <f t="shared" si="5"/>
        <v>41</v>
      </c>
      <c r="B54" s="284" t="s">
        <v>1339</v>
      </c>
      <c r="C54" s="292">
        <v>1</v>
      </c>
      <c r="D54" s="293"/>
      <c r="E54" s="287">
        <f t="shared" si="8"/>
        <v>68.505482606959006</v>
      </c>
      <c r="F54" s="280">
        <f t="shared" si="2"/>
        <v>9.142368042455983</v>
      </c>
      <c r="G54" s="288"/>
      <c r="H54" s="288"/>
      <c r="I54" s="288"/>
      <c r="J54" s="288"/>
      <c r="K54" s="288"/>
      <c r="L54" s="288">
        <f t="shared" si="6"/>
        <v>9.142368042455983</v>
      </c>
      <c r="M54" s="288"/>
      <c r="N54" s="289">
        <f t="shared" si="3"/>
        <v>0.2</v>
      </c>
      <c r="O54" s="287">
        <f t="shared" si="9"/>
        <v>13.701096521391802</v>
      </c>
      <c r="P54" s="288"/>
      <c r="Q54" s="288">
        <f t="shared" si="7"/>
        <v>1.296</v>
      </c>
      <c r="R54" s="341">
        <f t="shared" si="4"/>
        <v>0</v>
      </c>
      <c r="S54" s="287"/>
      <c r="T54" s="287"/>
      <c r="U54" s="279">
        <f t="shared" si="10"/>
        <v>92.644947170806802</v>
      </c>
      <c r="V54" s="328" t="s">
        <v>440</v>
      </c>
      <c r="W54" s="290"/>
      <c r="X54" s="291">
        <v>3.4049999999999998</v>
      </c>
    </row>
    <row r="55" spans="1:24" ht="17.25" customHeight="1">
      <c r="A55" s="283">
        <f t="shared" si="5"/>
        <v>42</v>
      </c>
      <c r="B55" s="284" t="s">
        <v>1343</v>
      </c>
      <c r="C55" s="292">
        <v>1</v>
      </c>
      <c r="D55" s="293"/>
      <c r="E55" s="287">
        <f t="shared" si="8"/>
        <v>61.966780155487143</v>
      </c>
      <c r="F55" s="280">
        <f t="shared" si="2"/>
        <v>8.2697484789322839</v>
      </c>
      <c r="G55" s="288"/>
      <c r="H55" s="288"/>
      <c r="I55" s="288"/>
      <c r="J55" s="288"/>
      <c r="K55" s="288"/>
      <c r="L55" s="288">
        <f t="shared" si="6"/>
        <v>8.2697484789322839</v>
      </c>
      <c r="M55" s="288"/>
      <c r="N55" s="289">
        <f t="shared" si="3"/>
        <v>0.2</v>
      </c>
      <c r="O55" s="287">
        <f t="shared" si="9"/>
        <v>12.393356031097429</v>
      </c>
      <c r="P55" s="288"/>
      <c r="Q55" s="288">
        <f t="shared" si="7"/>
        <v>1.296</v>
      </c>
      <c r="R55" s="341">
        <f t="shared" si="4"/>
        <v>0</v>
      </c>
      <c r="S55" s="287"/>
      <c r="T55" s="287"/>
      <c r="U55" s="279">
        <f t="shared" si="10"/>
        <v>83.925884665516861</v>
      </c>
      <c r="V55" s="327" t="s">
        <v>439</v>
      </c>
      <c r="W55" s="290"/>
      <c r="X55" s="291">
        <v>3.08</v>
      </c>
    </row>
    <row r="56" spans="1:24" ht="17.25" customHeight="1">
      <c r="A56" s="283">
        <f t="shared" si="5"/>
        <v>43</v>
      </c>
      <c r="B56" s="284" t="s">
        <v>1344</v>
      </c>
      <c r="C56" s="292">
        <v>1</v>
      </c>
      <c r="D56" s="293"/>
      <c r="E56" s="287">
        <f t="shared" si="8"/>
        <v>55.528673126345623</v>
      </c>
      <c r="F56" s="280">
        <f t="shared" si="2"/>
        <v>7.4105538317704882</v>
      </c>
      <c r="G56" s="288"/>
      <c r="H56" s="288"/>
      <c r="I56" s="288"/>
      <c r="J56" s="288"/>
      <c r="K56" s="288"/>
      <c r="L56" s="288">
        <f t="shared" si="6"/>
        <v>7.4105538317704882</v>
      </c>
      <c r="M56" s="288"/>
      <c r="N56" s="289">
        <f t="shared" si="3"/>
        <v>0.2</v>
      </c>
      <c r="O56" s="287">
        <f t="shared" si="9"/>
        <v>11.105734625269125</v>
      </c>
      <c r="P56" s="288"/>
      <c r="Q56" s="288">
        <f t="shared" si="7"/>
        <v>1.296</v>
      </c>
      <c r="R56" s="341">
        <f t="shared" si="4"/>
        <v>0</v>
      </c>
      <c r="S56" s="287"/>
      <c r="T56" s="287"/>
      <c r="U56" s="279">
        <f t="shared" si="10"/>
        <v>75.340961583385237</v>
      </c>
      <c r="V56" s="327" t="s">
        <v>439</v>
      </c>
      <c r="W56" s="290"/>
      <c r="X56" s="291">
        <v>2.76</v>
      </c>
    </row>
    <row r="57" spans="1:24" ht="17.25" customHeight="1">
      <c r="A57" s="283">
        <f t="shared" si="5"/>
        <v>44</v>
      </c>
      <c r="B57" s="294" t="s">
        <v>1345</v>
      </c>
      <c r="C57" s="292">
        <v>1</v>
      </c>
      <c r="D57" s="293"/>
      <c r="E57" s="287">
        <f t="shared" si="8"/>
        <v>38.206141401061714</v>
      </c>
      <c r="F57" s="280">
        <f t="shared" si="2"/>
        <v>5.0987832342507815</v>
      </c>
      <c r="G57" s="288"/>
      <c r="H57" s="288"/>
      <c r="I57" s="288"/>
      <c r="J57" s="288"/>
      <c r="K57" s="288"/>
      <c r="L57" s="288">
        <f t="shared" si="6"/>
        <v>5.0987832342507815</v>
      </c>
      <c r="M57" s="288"/>
      <c r="N57" s="289">
        <f t="shared" si="3"/>
        <v>0.15</v>
      </c>
      <c r="O57" s="287">
        <f>(E57+G57+H57+I57+J57)*0.15</f>
        <v>5.7309212101592566</v>
      </c>
      <c r="P57" s="288"/>
      <c r="Q57" s="288">
        <f t="shared" si="7"/>
        <v>1.296</v>
      </c>
      <c r="R57" s="341">
        <f t="shared" si="4"/>
        <v>0</v>
      </c>
      <c r="S57" s="287"/>
      <c r="T57" s="287"/>
      <c r="U57" s="279">
        <f t="shared" si="10"/>
        <v>50.331845845471754</v>
      </c>
      <c r="V57" s="327" t="s">
        <v>439</v>
      </c>
      <c r="W57" s="290"/>
      <c r="X57" s="291">
        <v>1.899</v>
      </c>
    </row>
    <row r="58" spans="1:24" ht="15.75">
      <c r="A58" s="283">
        <f t="shared" si="5"/>
        <v>45</v>
      </c>
      <c r="B58" s="295" t="s">
        <v>1346</v>
      </c>
      <c r="C58" s="292">
        <v>1</v>
      </c>
      <c r="D58" s="293"/>
      <c r="E58" s="287">
        <f t="shared" si="8"/>
        <v>38.206141401061714</v>
      </c>
      <c r="F58" s="280">
        <f t="shared" si="2"/>
        <v>6.6270288902932499</v>
      </c>
      <c r="G58" s="288"/>
      <c r="H58" s="288"/>
      <c r="I58" s="288">
        <f>E58*0.04</f>
        <v>1.5282456560424686</v>
      </c>
      <c r="J58" s="288"/>
      <c r="K58" s="288"/>
      <c r="L58" s="288">
        <f t="shared" si="6"/>
        <v>5.0987832342507815</v>
      </c>
      <c r="M58" s="288"/>
      <c r="N58" s="289">
        <f t="shared" si="3"/>
        <v>0.156</v>
      </c>
      <c r="O58" s="287">
        <f t="shared" ref="O58:O64" si="11">(E58+G58+H58+I58+J58)*0.15</f>
        <v>5.9601580585656277</v>
      </c>
      <c r="P58" s="288"/>
      <c r="Q58" s="288">
        <f t="shared" si="7"/>
        <v>1.296</v>
      </c>
      <c r="R58" s="341">
        <f t="shared" si="4"/>
        <v>0</v>
      </c>
      <c r="S58" s="287"/>
      <c r="T58" s="287"/>
      <c r="U58" s="279">
        <f t="shared" si="10"/>
        <v>52.089328349920585</v>
      </c>
      <c r="V58" s="290"/>
      <c r="W58" s="290"/>
      <c r="X58" s="291">
        <v>1.899</v>
      </c>
    </row>
    <row r="59" spans="1:24" ht="15.75">
      <c r="A59" s="283">
        <f t="shared" si="5"/>
        <v>46</v>
      </c>
      <c r="B59" s="295" t="s">
        <v>1347</v>
      </c>
      <c r="C59" s="292">
        <v>0.5</v>
      </c>
      <c r="D59" s="293"/>
      <c r="E59" s="287">
        <f t="shared" si="8"/>
        <v>17.328366259779063</v>
      </c>
      <c r="F59" s="280">
        <f t="shared" si="2"/>
        <v>3.0056838930598588</v>
      </c>
      <c r="G59" s="288"/>
      <c r="H59" s="288"/>
      <c r="I59" s="288">
        <f>E59*0.04</f>
        <v>0.69313465039116251</v>
      </c>
      <c r="J59" s="288"/>
      <c r="K59" s="288"/>
      <c r="L59" s="288">
        <f t="shared" si="6"/>
        <v>2.3125492426686964</v>
      </c>
      <c r="M59" s="288"/>
      <c r="N59" s="289">
        <f>O59/E59</f>
        <v>0.156</v>
      </c>
      <c r="O59" s="287">
        <f t="shared" si="11"/>
        <v>2.7032251365255338</v>
      </c>
      <c r="P59" s="288"/>
      <c r="Q59" s="288">
        <f t="shared" si="7"/>
        <v>0.64800000000000002</v>
      </c>
      <c r="R59" s="341">
        <f t="shared" si="4"/>
        <v>0</v>
      </c>
      <c r="S59" s="287"/>
      <c r="T59" s="287"/>
      <c r="U59" s="279">
        <f t="shared" si="10"/>
        <v>23.685275289364458</v>
      </c>
      <c r="V59" s="290"/>
      <c r="W59" s="290"/>
      <c r="X59" s="291">
        <v>1.72258</v>
      </c>
    </row>
    <row r="60" spans="1:24" ht="17.25" customHeight="1">
      <c r="A60" s="283">
        <f t="shared" si="5"/>
        <v>47</v>
      </c>
      <c r="B60" s="295" t="s">
        <v>1348</v>
      </c>
      <c r="C60" s="292">
        <v>0.5</v>
      </c>
      <c r="D60" s="293"/>
      <c r="E60" s="287">
        <f t="shared" si="8"/>
        <v>15.595509514716689</v>
      </c>
      <c r="F60" s="280">
        <f t="shared" si="2"/>
        <v>2.0812916334185543</v>
      </c>
      <c r="G60" s="288"/>
      <c r="H60" s="288"/>
      <c r="I60" s="288"/>
      <c r="J60" s="288"/>
      <c r="K60" s="288"/>
      <c r="L60" s="288">
        <f t="shared" si="6"/>
        <v>2.0812916334185543</v>
      </c>
      <c r="M60" s="288"/>
      <c r="N60" s="289">
        <f t="shared" si="3"/>
        <v>0.15</v>
      </c>
      <c r="O60" s="287">
        <f t="shared" si="11"/>
        <v>2.3393264272075034</v>
      </c>
      <c r="P60" s="288"/>
      <c r="Q60" s="288">
        <f t="shared" si="7"/>
        <v>0.64800000000000002</v>
      </c>
      <c r="R60" s="341">
        <f t="shared" si="4"/>
        <v>0</v>
      </c>
      <c r="S60" s="287"/>
      <c r="T60" s="287"/>
      <c r="U60" s="279">
        <f t="shared" si="10"/>
        <v>20.664127575342746</v>
      </c>
      <c r="V60" s="290"/>
      <c r="W60" s="290"/>
      <c r="X60" s="291">
        <v>1.5503199999999999</v>
      </c>
    </row>
    <row r="61" spans="1:24" ht="15.75">
      <c r="A61" s="283">
        <f t="shared" si="5"/>
        <v>48</v>
      </c>
      <c r="B61" s="295" t="s">
        <v>1349</v>
      </c>
      <c r="C61" s="292">
        <v>1</v>
      </c>
      <c r="D61" s="293"/>
      <c r="E61" s="287">
        <f t="shared" si="8"/>
        <v>44.476052884066917</v>
      </c>
      <c r="F61" s="280">
        <f t="shared" si="2"/>
        <v>5.9355314212554759</v>
      </c>
      <c r="G61" s="288"/>
      <c r="H61" s="288"/>
      <c r="I61" s="288"/>
      <c r="J61" s="288"/>
      <c r="K61" s="288"/>
      <c r="L61" s="288">
        <f t="shared" si="6"/>
        <v>5.9355314212554759</v>
      </c>
      <c r="M61" s="288"/>
      <c r="N61" s="289">
        <f t="shared" si="3"/>
        <v>0.15</v>
      </c>
      <c r="O61" s="287">
        <f t="shared" si="11"/>
        <v>6.6714079326100375</v>
      </c>
      <c r="P61" s="288"/>
      <c r="Q61" s="288">
        <f t="shared" si="7"/>
        <v>1.296</v>
      </c>
      <c r="R61" s="341">
        <f t="shared" si="4"/>
        <v>0</v>
      </c>
      <c r="S61" s="287"/>
      <c r="T61" s="287"/>
      <c r="U61" s="279">
        <f t="shared" si="10"/>
        <v>58.37899223793243</v>
      </c>
      <c r="V61" s="290"/>
      <c r="W61" s="290"/>
      <c r="X61" s="291">
        <v>2.2106400000000002</v>
      </c>
    </row>
    <row r="62" spans="1:24" ht="15.75">
      <c r="A62" s="283">
        <f t="shared" si="5"/>
        <v>49</v>
      </c>
      <c r="B62" s="295" t="s">
        <v>1350</v>
      </c>
      <c r="C62" s="292">
        <v>2</v>
      </c>
      <c r="D62" s="293"/>
      <c r="E62" s="287">
        <f t="shared" si="8"/>
        <v>62.382038058866755</v>
      </c>
      <c r="F62" s="280">
        <f t="shared" si="2"/>
        <v>8.3251665336742171</v>
      </c>
      <c r="G62" s="288"/>
      <c r="H62" s="288"/>
      <c r="I62" s="288"/>
      <c r="J62" s="288"/>
      <c r="K62" s="288"/>
      <c r="L62" s="288">
        <f t="shared" si="6"/>
        <v>8.3251665336742171</v>
      </c>
      <c r="M62" s="288"/>
      <c r="N62" s="289">
        <f t="shared" si="3"/>
        <v>0.15</v>
      </c>
      <c r="O62" s="287">
        <f>(E62+G62+H62+I62+J62)*0.15</f>
        <v>9.3573057088300136</v>
      </c>
      <c r="P62" s="288"/>
      <c r="Q62" s="288">
        <f t="shared" si="7"/>
        <v>2.5920000000000001</v>
      </c>
      <c r="R62" s="341">
        <f t="shared" si="4"/>
        <v>0</v>
      </c>
      <c r="S62" s="287"/>
      <c r="T62" s="287"/>
      <c r="U62" s="279">
        <f t="shared" si="10"/>
        <v>82.656510301370986</v>
      </c>
      <c r="V62" s="290"/>
      <c r="W62" s="290"/>
      <c r="X62" s="291">
        <v>1.5503199999999999</v>
      </c>
    </row>
    <row r="63" spans="1:24" ht="15.75">
      <c r="A63" s="283">
        <f t="shared" si="5"/>
        <v>50</v>
      </c>
      <c r="B63" s="295" t="s">
        <v>1351</v>
      </c>
      <c r="C63" s="292">
        <v>1</v>
      </c>
      <c r="D63" s="293"/>
      <c r="E63" s="287">
        <f t="shared" si="8"/>
        <v>31.191019029433377</v>
      </c>
      <c r="F63" s="280">
        <f t="shared" si="2"/>
        <v>4.1625832668371086</v>
      </c>
      <c r="G63" s="288"/>
      <c r="H63" s="288"/>
      <c r="I63" s="288"/>
      <c r="J63" s="288"/>
      <c r="K63" s="288"/>
      <c r="L63" s="288">
        <f t="shared" si="6"/>
        <v>4.1625832668371086</v>
      </c>
      <c r="M63" s="288"/>
      <c r="N63" s="289">
        <f t="shared" si="3"/>
        <v>0.15</v>
      </c>
      <c r="O63" s="287">
        <f t="shared" si="11"/>
        <v>4.6786528544150068</v>
      </c>
      <c r="P63" s="288"/>
      <c r="Q63" s="288">
        <f t="shared" si="7"/>
        <v>1.296</v>
      </c>
      <c r="R63" s="341">
        <f t="shared" si="4"/>
        <v>0</v>
      </c>
      <c r="S63" s="287"/>
      <c r="T63" s="287"/>
      <c r="U63" s="279">
        <f t="shared" si="10"/>
        <v>41.328255150685493</v>
      </c>
      <c r="V63" s="290"/>
      <c r="W63" s="290"/>
      <c r="X63" s="291">
        <v>1.5503199999999999</v>
      </c>
    </row>
    <row r="64" spans="1:24" ht="17.25" customHeight="1">
      <c r="A64" s="283">
        <f t="shared" si="5"/>
        <v>51</v>
      </c>
      <c r="B64" s="295" t="s">
        <v>1352</v>
      </c>
      <c r="C64" s="292">
        <v>1</v>
      </c>
      <c r="D64" s="293"/>
      <c r="E64" s="287">
        <f t="shared" si="8"/>
        <v>28.880543369350221</v>
      </c>
      <c r="F64" s="280">
        <f t="shared" si="2"/>
        <v>3.8542397878369203</v>
      </c>
      <c r="G64" s="288"/>
      <c r="H64" s="288"/>
      <c r="I64" s="288"/>
      <c r="J64" s="288"/>
      <c r="K64" s="288"/>
      <c r="L64" s="288">
        <f t="shared" si="6"/>
        <v>3.8542397878369203</v>
      </c>
      <c r="M64" s="288"/>
      <c r="N64" s="289">
        <f t="shared" si="3"/>
        <v>0.15</v>
      </c>
      <c r="O64" s="287">
        <f t="shared" si="11"/>
        <v>4.3320815054025328</v>
      </c>
      <c r="P64" s="288"/>
      <c r="Q64" s="288">
        <f t="shared" si="7"/>
        <v>1.296</v>
      </c>
      <c r="R64" s="341">
        <f t="shared" si="4"/>
        <v>0</v>
      </c>
      <c r="S64" s="287"/>
      <c r="T64" s="287"/>
      <c r="U64" s="279">
        <f t="shared" si="10"/>
        <v>38.362864662589672</v>
      </c>
      <c r="V64" s="290"/>
      <c r="W64" s="290"/>
      <c r="X64" s="291">
        <v>1.4354800000000001</v>
      </c>
    </row>
    <row r="65" spans="1:24" ht="15.75">
      <c r="A65" s="283">
        <f t="shared" si="5"/>
        <v>52</v>
      </c>
      <c r="B65" s="513" t="s">
        <v>1353</v>
      </c>
      <c r="C65" s="292">
        <v>1</v>
      </c>
      <c r="D65" s="293"/>
      <c r="E65" s="287">
        <f t="shared" si="8"/>
        <v>78.162643150671272</v>
      </c>
      <c r="F65" s="280">
        <f t="shared" si="2"/>
        <v>10.431160013198674</v>
      </c>
      <c r="G65" s="288"/>
      <c r="H65" s="288"/>
      <c r="I65" s="288"/>
      <c r="J65" s="288"/>
      <c r="K65" s="288"/>
      <c r="L65" s="288">
        <f t="shared" si="6"/>
        <v>10.431160013198674</v>
      </c>
      <c r="M65" s="288"/>
      <c r="N65" s="289">
        <f t="shared" si="3"/>
        <v>0.2</v>
      </c>
      <c r="O65" s="287">
        <f t="shared" ref="O65:O71" si="12">(E65+G65+H65+I65+J65)*0.2</f>
        <v>15.632528630134255</v>
      </c>
      <c r="P65" s="288"/>
      <c r="Q65" s="288">
        <f t="shared" si="7"/>
        <v>1.296</v>
      </c>
      <c r="R65" s="341">
        <f t="shared" si="4"/>
        <v>0</v>
      </c>
      <c r="S65" s="287"/>
      <c r="T65" s="287"/>
      <c r="U65" s="279">
        <f t="shared" si="10"/>
        <v>105.52233179400422</v>
      </c>
      <c r="V65" s="327" t="s">
        <v>439</v>
      </c>
      <c r="W65" s="290"/>
      <c r="X65" s="291">
        <v>3.8849999999999998</v>
      </c>
    </row>
    <row r="66" spans="1:24" ht="15.75">
      <c r="A66" s="283">
        <f t="shared" si="5"/>
        <v>53</v>
      </c>
      <c r="B66" s="284" t="s">
        <v>1354</v>
      </c>
      <c r="C66" s="292">
        <v>1</v>
      </c>
      <c r="D66" s="293"/>
      <c r="E66" s="287">
        <f t="shared" si="8"/>
        <v>68.505482606959006</v>
      </c>
      <c r="F66" s="280">
        <f t="shared" si="2"/>
        <v>9.142368042455983</v>
      </c>
      <c r="G66" s="288"/>
      <c r="H66" s="288"/>
      <c r="I66" s="288"/>
      <c r="J66" s="288"/>
      <c r="K66" s="288"/>
      <c r="L66" s="288">
        <f t="shared" si="6"/>
        <v>9.142368042455983</v>
      </c>
      <c r="M66" s="288"/>
      <c r="N66" s="289">
        <f>O66/E66</f>
        <v>0.2</v>
      </c>
      <c r="O66" s="287">
        <f t="shared" si="12"/>
        <v>13.701096521391802</v>
      </c>
      <c r="P66" s="288"/>
      <c r="Q66" s="288">
        <f t="shared" si="7"/>
        <v>1.296</v>
      </c>
      <c r="R66" s="341">
        <f t="shared" si="4"/>
        <v>0</v>
      </c>
      <c r="S66" s="287"/>
      <c r="T66" s="287"/>
      <c r="U66" s="279">
        <f t="shared" si="10"/>
        <v>92.644947170806802</v>
      </c>
      <c r="V66" s="328" t="s">
        <v>440</v>
      </c>
      <c r="W66" s="290"/>
      <c r="X66" s="291">
        <v>3.4049999999999998</v>
      </c>
    </row>
    <row r="67" spans="1:24" ht="31.5">
      <c r="A67" s="283">
        <f t="shared" si="5"/>
        <v>54</v>
      </c>
      <c r="B67" s="284" t="s">
        <v>1355</v>
      </c>
      <c r="C67" s="292">
        <v>1</v>
      </c>
      <c r="D67" s="293"/>
      <c r="E67" s="287">
        <f t="shared" si="8"/>
        <v>68.505482606959006</v>
      </c>
      <c r="F67" s="280">
        <f t="shared" si="2"/>
        <v>14.622806651012704</v>
      </c>
      <c r="G67" s="288"/>
      <c r="H67" s="288"/>
      <c r="I67" s="288">
        <f>E67*0.08</f>
        <v>5.4804386085567209</v>
      </c>
      <c r="J67" s="288"/>
      <c r="K67" s="288"/>
      <c r="L67" s="288">
        <f t="shared" si="6"/>
        <v>9.142368042455983</v>
      </c>
      <c r="M67" s="288"/>
      <c r="N67" s="289">
        <f t="shared" si="3"/>
        <v>0.21600000000000003</v>
      </c>
      <c r="O67" s="287">
        <f t="shared" si="12"/>
        <v>14.797184243103146</v>
      </c>
      <c r="P67" s="288"/>
      <c r="Q67" s="288">
        <f t="shared" si="7"/>
        <v>1.296</v>
      </c>
      <c r="R67" s="341">
        <f t="shared" si="4"/>
        <v>0</v>
      </c>
      <c r="S67" s="287"/>
      <c r="T67" s="287"/>
      <c r="U67" s="279">
        <f t="shared" si="10"/>
        <v>99.221473501074868</v>
      </c>
      <c r="V67" s="328" t="s">
        <v>440</v>
      </c>
      <c r="W67" s="290"/>
      <c r="X67" s="291">
        <v>3.4049999999999998</v>
      </c>
    </row>
    <row r="68" spans="1:24" ht="15.75">
      <c r="A68" s="283">
        <f t="shared" si="5"/>
        <v>55</v>
      </c>
      <c r="B68" s="284" t="s">
        <v>1356</v>
      </c>
      <c r="C68" s="292">
        <v>2</v>
      </c>
      <c r="D68" s="293"/>
      <c r="E68" s="287">
        <f t="shared" si="8"/>
        <v>137.01096521391801</v>
      </c>
      <c r="F68" s="280">
        <f t="shared" si="2"/>
        <v>18.284736084911966</v>
      </c>
      <c r="G68" s="288"/>
      <c r="H68" s="288"/>
      <c r="I68" s="288"/>
      <c r="J68" s="288"/>
      <c r="K68" s="288"/>
      <c r="L68" s="288">
        <f t="shared" si="6"/>
        <v>18.284736084911966</v>
      </c>
      <c r="M68" s="288"/>
      <c r="N68" s="289">
        <f t="shared" si="3"/>
        <v>0.2</v>
      </c>
      <c r="O68" s="287">
        <f t="shared" si="12"/>
        <v>27.402193042783605</v>
      </c>
      <c r="P68" s="288"/>
      <c r="Q68" s="288">
        <f t="shared" si="7"/>
        <v>2.5920000000000001</v>
      </c>
      <c r="R68" s="341">
        <f t="shared" si="4"/>
        <v>0</v>
      </c>
      <c r="S68" s="287"/>
      <c r="T68" s="287"/>
      <c r="U68" s="279">
        <f t="shared" si="10"/>
        <v>185.2898943416136</v>
      </c>
      <c r="V68" s="328" t="s">
        <v>440</v>
      </c>
      <c r="W68" s="290"/>
      <c r="X68" s="291">
        <v>3.4049999999999998</v>
      </c>
    </row>
    <row r="69" spans="1:24" ht="15.75">
      <c r="A69" s="283">
        <f t="shared" si="5"/>
        <v>56</v>
      </c>
      <c r="B69" s="284" t="s">
        <v>1357</v>
      </c>
      <c r="C69" s="292">
        <v>5</v>
      </c>
      <c r="D69" s="293"/>
      <c r="E69" s="287">
        <f t="shared" si="8"/>
        <v>309.8339007774357</v>
      </c>
      <c r="F69" s="280">
        <f t="shared" si="2"/>
        <v>85.898000219874334</v>
      </c>
      <c r="G69" s="288">
        <f>E69/2003*60*12*0.4</f>
        <v>44.549257825212919</v>
      </c>
      <c r="H69" s="288"/>
      <c r="I69" s="288"/>
      <c r="J69" s="288"/>
      <c r="K69" s="288"/>
      <c r="L69" s="288">
        <f t="shared" si="6"/>
        <v>41.348742394661414</v>
      </c>
      <c r="M69" s="288"/>
      <c r="N69" s="289">
        <f t="shared" si="3"/>
        <v>0.22875686470294559</v>
      </c>
      <c r="O69" s="287">
        <f t="shared" si="12"/>
        <v>70.87663172052973</v>
      </c>
      <c r="P69" s="288"/>
      <c r="Q69" s="288">
        <f t="shared" si="7"/>
        <v>6.48</v>
      </c>
      <c r="R69" s="341">
        <f t="shared" si="4"/>
        <v>0</v>
      </c>
      <c r="S69" s="287"/>
      <c r="T69" s="287"/>
      <c r="U69" s="279">
        <f t="shared" si="10"/>
        <v>473.08853271783983</v>
      </c>
      <c r="V69" s="328" t="s">
        <v>440</v>
      </c>
      <c r="W69" s="290"/>
      <c r="X69" s="291">
        <v>3.08</v>
      </c>
    </row>
    <row r="70" spans="1:24" ht="15.75">
      <c r="A70" s="283">
        <f t="shared" si="5"/>
        <v>57</v>
      </c>
      <c r="B70" s="284" t="s">
        <v>1358</v>
      </c>
      <c r="C70" s="292">
        <v>1</v>
      </c>
      <c r="D70" s="293"/>
      <c r="E70" s="287">
        <f t="shared" si="8"/>
        <v>58.64713121858604</v>
      </c>
      <c r="F70" s="280">
        <f t="shared" si="2"/>
        <v>12.518496736476365</v>
      </c>
      <c r="G70" s="288"/>
      <c r="H70" s="288"/>
      <c r="I70" s="288">
        <f>E70*0.08</f>
        <v>4.6917704974868837</v>
      </c>
      <c r="J70" s="288"/>
      <c r="K70" s="288"/>
      <c r="L70" s="288">
        <f t="shared" si="6"/>
        <v>7.8267262389894823</v>
      </c>
      <c r="M70" s="288"/>
      <c r="N70" s="289">
        <f t="shared" si="3"/>
        <v>0.32400000000000001</v>
      </c>
      <c r="O70" s="287">
        <f>(E70+G70+H70+I70+J70)*0.3</f>
        <v>19.001670514821878</v>
      </c>
      <c r="P70" s="288"/>
      <c r="Q70" s="288">
        <f t="shared" si="7"/>
        <v>1.296</v>
      </c>
      <c r="R70" s="341">
        <f t="shared" si="4"/>
        <v>0</v>
      </c>
      <c r="S70" s="287"/>
      <c r="T70" s="287"/>
      <c r="U70" s="279">
        <f t="shared" si="10"/>
        <v>91.463298469884293</v>
      </c>
      <c r="V70" s="327" t="s">
        <v>439</v>
      </c>
      <c r="W70" s="290"/>
      <c r="X70" s="291">
        <v>2.915</v>
      </c>
    </row>
    <row r="71" spans="1:24" ht="15.75">
      <c r="A71" s="283">
        <f t="shared" si="5"/>
        <v>58</v>
      </c>
      <c r="B71" s="284" t="s">
        <v>1359</v>
      </c>
      <c r="C71" s="292">
        <v>1</v>
      </c>
      <c r="D71" s="293"/>
      <c r="E71" s="287">
        <f t="shared" si="8"/>
        <v>58.64713121858604</v>
      </c>
      <c r="F71" s="280">
        <f t="shared" si="2"/>
        <v>7.8267262389894823</v>
      </c>
      <c r="G71" s="288"/>
      <c r="H71" s="288"/>
      <c r="I71" s="288"/>
      <c r="J71" s="288"/>
      <c r="K71" s="288"/>
      <c r="L71" s="288">
        <f t="shared" si="6"/>
        <v>7.8267262389894823</v>
      </c>
      <c r="M71" s="288"/>
      <c r="N71" s="289">
        <f t="shared" si="3"/>
        <v>0.2</v>
      </c>
      <c r="O71" s="287">
        <f t="shared" si="12"/>
        <v>11.729426243717208</v>
      </c>
      <c r="P71" s="288"/>
      <c r="Q71" s="288">
        <f t="shared" si="7"/>
        <v>1.296</v>
      </c>
      <c r="R71" s="341">
        <f t="shared" si="4"/>
        <v>0</v>
      </c>
      <c r="S71" s="287"/>
      <c r="T71" s="287"/>
      <c r="U71" s="279">
        <f t="shared" si="10"/>
        <v>79.49928370129274</v>
      </c>
      <c r="V71" s="327" t="s">
        <v>439</v>
      </c>
      <c r="W71" s="290"/>
      <c r="X71" s="291">
        <v>2.915</v>
      </c>
    </row>
    <row r="72" spans="1:24" ht="31.35" customHeight="1">
      <c r="A72" s="283">
        <f t="shared" si="5"/>
        <v>59</v>
      </c>
      <c r="B72" s="295" t="s">
        <v>1360</v>
      </c>
      <c r="C72" s="296">
        <v>1</v>
      </c>
      <c r="D72" s="293"/>
      <c r="E72" s="287">
        <f t="shared" si="8"/>
        <v>38.988773786791725</v>
      </c>
      <c r="F72" s="280">
        <f t="shared" si="2"/>
        <v>8.3223309864897246</v>
      </c>
      <c r="G72" s="288"/>
      <c r="H72" s="288"/>
      <c r="I72" s="288">
        <f>E72*0.08</f>
        <v>3.119101902943338</v>
      </c>
      <c r="J72" s="288"/>
      <c r="K72" s="288"/>
      <c r="L72" s="288">
        <f t="shared" si="6"/>
        <v>5.203229083546387</v>
      </c>
      <c r="M72" s="288"/>
      <c r="N72" s="289">
        <f t="shared" si="3"/>
        <v>0.16199999999999998</v>
      </c>
      <c r="O72" s="287">
        <f>(E72+G72+H72+I72+J72)*0.15</f>
        <v>6.3161813534602587</v>
      </c>
      <c r="P72" s="288"/>
      <c r="Q72" s="288">
        <f t="shared" si="7"/>
        <v>1.296</v>
      </c>
      <c r="R72" s="341">
        <f t="shared" si="4"/>
        <v>0</v>
      </c>
      <c r="S72" s="287"/>
      <c r="T72" s="287"/>
      <c r="U72" s="279">
        <f t="shared" si="10"/>
        <v>54.923286126741708</v>
      </c>
      <c r="V72" s="290"/>
      <c r="W72" s="290"/>
      <c r="X72" s="291">
        <v>1.9379</v>
      </c>
    </row>
    <row r="73" spans="1:24" ht="17.25" customHeight="1">
      <c r="A73" s="283">
        <f t="shared" si="5"/>
        <v>60</v>
      </c>
      <c r="B73" s="295" t="s">
        <v>1361</v>
      </c>
      <c r="C73" s="292">
        <v>5</v>
      </c>
      <c r="D73" s="293"/>
      <c r="E73" s="287">
        <f t="shared" si="8"/>
        <v>222.38026442033458</v>
      </c>
      <c r="F73" s="280">
        <f t="shared" si="2"/>
        <v>72.771466209998238</v>
      </c>
      <c r="G73" s="288">
        <f>E73/2003*60*12*0.4</f>
        <v>31.974795882704129</v>
      </c>
      <c r="H73" s="288"/>
      <c r="I73" s="288"/>
      <c r="J73" s="288"/>
      <c r="K73" s="288">
        <f>E73/C73*0.25</f>
        <v>11.119013221016729</v>
      </c>
      <c r="L73" s="288">
        <f t="shared" si="6"/>
        <v>29.677657106277376</v>
      </c>
      <c r="M73" s="288"/>
      <c r="N73" s="289">
        <f t="shared" si="3"/>
        <v>0.17156764852720918</v>
      </c>
      <c r="O73" s="287">
        <f>(E73+G73+H73+I73+J73)*0.15</f>
        <v>38.153259045455805</v>
      </c>
      <c r="P73" s="288"/>
      <c r="Q73" s="288">
        <f t="shared" si="7"/>
        <v>6.48</v>
      </c>
      <c r="R73" s="341">
        <f t="shared" si="4"/>
        <v>0</v>
      </c>
      <c r="S73" s="287"/>
      <c r="T73" s="287"/>
      <c r="U73" s="279">
        <f t="shared" si="10"/>
        <v>339.78498967578867</v>
      </c>
      <c r="V73" s="290"/>
      <c r="W73" s="290"/>
      <c r="X73" s="291">
        <v>2.2106400000000002</v>
      </c>
    </row>
    <row r="74" spans="1:24" ht="17.25" customHeight="1">
      <c r="A74" s="283">
        <f t="shared" si="5"/>
        <v>61</v>
      </c>
      <c r="B74" s="295" t="s">
        <v>1362</v>
      </c>
      <c r="C74" s="292">
        <v>2</v>
      </c>
      <c r="D74" s="293"/>
      <c r="E74" s="287">
        <f t="shared" si="8"/>
        <v>62.382038058866755</v>
      </c>
      <c r="F74" s="280">
        <f t="shared" si="2"/>
        <v>8.3251665336742171</v>
      </c>
      <c r="G74" s="288"/>
      <c r="H74" s="288"/>
      <c r="I74" s="288"/>
      <c r="J74" s="288"/>
      <c r="K74" s="288"/>
      <c r="L74" s="288">
        <f t="shared" si="6"/>
        <v>8.3251665336742171</v>
      </c>
      <c r="M74" s="288"/>
      <c r="N74" s="289">
        <f t="shared" si="3"/>
        <v>0.15</v>
      </c>
      <c r="O74" s="287">
        <f>(E74+G74+H74+I74+J74)*0.15</f>
        <v>9.3573057088300136</v>
      </c>
      <c r="P74" s="288"/>
      <c r="Q74" s="288">
        <f t="shared" si="7"/>
        <v>2.5920000000000001</v>
      </c>
      <c r="R74" s="341">
        <f t="shared" si="4"/>
        <v>0</v>
      </c>
      <c r="S74" s="287"/>
      <c r="T74" s="287"/>
      <c r="U74" s="279">
        <f t="shared" si="10"/>
        <v>82.656510301370986</v>
      </c>
      <c r="V74" s="290"/>
      <c r="W74" s="290"/>
      <c r="X74" s="291">
        <v>1.5503199999999999</v>
      </c>
    </row>
    <row r="75" spans="1:24" ht="15.75">
      <c r="A75" s="283">
        <f t="shared" si="5"/>
        <v>62</v>
      </c>
      <c r="B75" s="295" t="s">
        <v>1363</v>
      </c>
      <c r="C75" s="292">
        <v>5</v>
      </c>
      <c r="D75" s="293"/>
      <c r="E75" s="287">
        <f t="shared" si="8"/>
        <v>194.94386893395867</v>
      </c>
      <c r="F75" s="280">
        <f t="shared" si="2"/>
        <v>69.641527250461678</v>
      </c>
      <c r="G75" s="288">
        <f>E75/2003*60*12*0.4</f>
        <v>28.029872318013034</v>
      </c>
      <c r="H75" s="288"/>
      <c r="I75" s="288">
        <f>E75*0.08</f>
        <v>15.595509514716694</v>
      </c>
      <c r="J75" s="288"/>
      <c r="K75" s="288"/>
      <c r="L75" s="288">
        <f t="shared" si="6"/>
        <v>26.016145417731941</v>
      </c>
      <c r="M75" s="288"/>
      <c r="N75" s="289">
        <f t="shared" si="3"/>
        <v>0.18356764852720919</v>
      </c>
      <c r="O75" s="287">
        <f>(E75+G75+H75+I75+J75)*0.15</f>
        <v>35.785387615003259</v>
      </c>
      <c r="P75" s="288"/>
      <c r="Q75" s="288">
        <f t="shared" si="7"/>
        <v>6.48</v>
      </c>
      <c r="R75" s="341">
        <f t="shared" si="4"/>
        <v>0</v>
      </c>
      <c r="S75" s="287"/>
      <c r="T75" s="287"/>
      <c r="U75" s="279">
        <f t="shared" si="10"/>
        <v>306.85078379942365</v>
      </c>
      <c r="V75" s="290"/>
      <c r="W75" s="290"/>
      <c r="X75" s="291">
        <v>1.9379</v>
      </c>
    </row>
    <row r="76" spans="1:24" ht="31.35" customHeight="1">
      <c r="A76" s="283">
        <f t="shared" si="5"/>
        <v>63</v>
      </c>
      <c r="B76" s="295" t="s">
        <v>1364</v>
      </c>
      <c r="C76" s="292">
        <v>5</v>
      </c>
      <c r="D76" s="293"/>
      <c r="E76" s="287">
        <f t="shared" si="8"/>
        <v>194.94386893395867</v>
      </c>
      <c r="F76" s="280">
        <f t="shared" si="2"/>
        <v>87.186475454517961</v>
      </c>
      <c r="G76" s="288">
        <f>E76/2003*60*12*0.4</f>
        <v>28.029872318013034</v>
      </c>
      <c r="H76" s="288"/>
      <c r="I76" s="288">
        <f>E76*0.12</f>
        <v>23.39326427207504</v>
      </c>
      <c r="J76" s="288"/>
      <c r="K76" s="288">
        <f>E76/C76*0.25</f>
        <v>9.7471934466979331</v>
      </c>
      <c r="L76" s="288">
        <f t="shared" si="6"/>
        <v>26.016145417731941</v>
      </c>
      <c r="M76" s="288"/>
      <c r="N76" s="289">
        <f t="shared" si="3"/>
        <v>0.1895676485272092</v>
      </c>
      <c r="O76" s="287">
        <f>(E76+G76+H76+I76+J76)*0.15</f>
        <v>36.955050828607014</v>
      </c>
      <c r="P76" s="288"/>
      <c r="Q76" s="288">
        <f t="shared" si="7"/>
        <v>6.48</v>
      </c>
      <c r="R76" s="341">
        <f t="shared" si="4"/>
        <v>0</v>
      </c>
      <c r="S76" s="287"/>
      <c r="T76" s="287"/>
      <c r="U76" s="279">
        <f t="shared" si="10"/>
        <v>325.56539521708362</v>
      </c>
      <c r="V76" s="290"/>
      <c r="W76" s="290"/>
      <c r="X76" s="291">
        <v>1.9379</v>
      </c>
    </row>
    <row r="77" spans="1:24" ht="15.75">
      <c r="A77" s="283">
        <f t="shared" si="5"/>
        <v>64</v>
      </c>
      <c r="B77" s="295" t="s">
        <v>1365</v>
      </c>
      <c r="C77" s="292">
        <v>5</v>
      </c>
      <c r="D77" s="293"/>
      <c r="E77" s="287">
        <f t="shared" si="8"/>
        <v>194.94386893395867</v>
      </c>
      <c r="F77" s="280">
        <f t="shared" si="2"/>
        <v>63.79321118244291</v>
      </c>
      <c r="G77" s="288">
        <f>E77/2003*60*12*0.4</f>
        <v>28.029872318013034</v>
      </c>
      <c r="H77" s="288"/>
      <c r="I77" s="288"/>
      <c r="J77" s="288"/>
      <c r="K77" s="288">
        <f>E77/C77*0.25</f>
        <v>9.7471934466979331</v>
      </c>
      <c r="L77" s="288">
        <f t="shared" si="6"/>
        <v>26.016145417731941</v>
      </c>
      <c r="M77" s="288"/>
      <c r="N77" s="289">
        <f t="shared" si="3"/>
        <v>0.22875686470294562</v>
      </c>
      <c r="O77" s="287">
        <f t="shared" ref="O77:O118" si="13">(E77+G77+H77+I77+J77)*0.2</f>
        <v>44.594748250394346</v>
      </c>
      <c r="P77" s="288"/>
      <c r="Q77" s="288">
        <f t="shared" si="7"/>
        <v>6.48</v>
      </c>
      <c r="R77" s="341">
        <f t="shared" si="4"/>
        <v>0</v>
      </c>
      <c r="S77" s="287"/>
      <c r="T77" s="287"/>
      <c r="U77" s="279">
        <f t="shared" si="10"/>
        <v>309.81182836679591</v>
      </c>
      <c r="V77" s="290"/>
      <c r="W77" s="290"/>
      <c r="X77" s="291">
        <v>1.9379</v>
      </c>
    </row>
    <row r="78" spans="1:24" ht="15.75">
      <c r="A78" s="283">
        <f t="shared" si="5"/>
        <v>65</v>
      </c>
      <c r="B78" s="295" t="s">
        <v>1366</v>
      </c>
      <c r="C78" s="292">
        <v>0</v>
      </c>
      <c r="D78" s="293"/>
      <c r="E78" s="287">
        <f t="shared" si="8"/>
        <v>0</v>
      </c>
      <c r="F78" s="280">
        <f t="shared" si="2"/>
        <v>0</v>
      </c>
      <c r="G78" s="288"/>
      <c r="H78" s="288"/>
      <c r="I78" s="288"/>
      <c r="J78" s="288"/>
      <c r="K78" s="288"/>
      <c r="L78" s="288">
        <f t="shared" si="6"/>
        <v>0</v>
      </c>
      <c r="M78" s="288"/>
      <c r="N78" s="289" t="e">
        <f t="shared" si="3"/>
        <v>#DIV/0!</v>
      </c>
      <c r="O78" s="287">
        <f t="shared" si="13"/>
        <v>0</v>
      </c>
      <c r="P78" s="288"/>
      <c r="Q78" s="288">
        <f t="shared" ref="Q78:Q141" si="14">0.216*6*C78</f>
        <v>0</v>
      </c>
      <c r="R78" s="341">
        <f t="shared" si="4"/>
        <v>0</v>
      </c>
      <c r="S78" s="287"/>
      <c r="T78" s="287"/>
      <c r="U78" s="279">
        <f t="shared" si="10"/>
        <v>0</v>
      </c>
      <c r="V78" s="290"/>
      <c r="W78" s="290"/>
      <c r="X78" s="291">
        <v>1.5503199999999999</v>
      </c>
    </row>
    <row r="79" spans="1:24" ht="15.75">
      <c r="A79" s="283">
        <f t="shared" ref="A79:A142" si="15">A78+1</f>
        <v>66</v>
      </c>
      <c r="B79" s="295" t="s">
        <v>1367</v>
      </c>
      <c r="C79" s="292">
        <v>4</v>
      </c>
      <c r="D79" s="293"/>
      <c r="E79" s="287">
        <f t="shared" ref="E79:E142" si="16">X79*11*(C79-D79)*1.063*1.13045*1.1611*1.0487*1.25</f>
        <v>177.90421153626767</v>
      </c>
      <c r="F79" s="280">
        <f t="shared" si="2"/>
        <v>74.673312535103349</v>
      </c>
      <c r="G79" s="288">
        <f>E79/2003*60*12*0.4</f>
        <v>25.579836706163299</v>
      </c>
      <c r="H79" s="288"/>
      <c r="I79" s="288">
        <f>E79*0.08</f>
        <v>14.232336922901414</v>
      </c>
      <c r="J79" s="288"/>
      <c r="K79" s="288">
        <f>E79/C79*0.25</f>
        <v>11.119013221016729</v>
      </c>
      <c r="L79" s="288">
        <f t="shared" ref="L79:L142" si="17">E79/11*1.468</f>
        <v>23.742125685021904</v>
      </c>
      <c r="M79" s="288"/>
      <c r="N79" s="289">
        <f t="shared" si="3"/>
        <v>0.24475686470294561</v>
      </c>
      <c r="O79" s="287">
        <f t="shared" si="13"/>
        <v>43.543277033066481</v>
      </c>
      <c r="P79" s="288"/>
      <c r="Q79" s="288">
        <f t="shared" si="14"/>
        <v>5.1840000000000002</v>
      </c>
      <c r="R79" s="341">
        <f t="shared" si="4"/>
        <v>0</v>
      </c>
      <c r="S79" s="287"/>
      <c r="T79" s="287"/>
      <c r="U79" s="279">
        <f t="shared" si="10"/>
        <v>301.3048011044375</v>
      </c>
      <c r="V79" s="290"/>
      <c r="W79" s="290"/>
      <c r="X79" s="291">
        <v>2.2106400000000002</v>
      </c>
    </row>
    <row r="80" spans="1:24" ht="31.35" customHeight="1">
      <c r="A80" s="283">
        <f t="shared" si="15"/>
        <v>67</v>
      </c>
      <c r="B80" s="295" t="s">
        <v>1368</v>
      </c>
      <c r="C80" s="292">
        <v>1</v>
      </c>
      <c r="D80" s="293"/>
      <c r="E80" s="287">
        <f t="shared" si="16"/>
        <v>44.476052884066917</v>
      </c>
      <c r="F80" s="280">
        <f t="shared" ref="F80:F152" si="18">SUM(G80:M80)</f>
        <v>9.4936156519808286</v>
      </c>
      <c r="G80" s="288"/>
      <c r="H80" s="288"/>
      <c r="I80" s="288">
        <f>E80*0.08</f>
        <v>3.5580842307253535</v>
      </c>
      <c r="J80" s="288"/>
      <c r="K80" s="288"/>
      <c r="L80" s="288">
        <f t="shared" si="17"/>
        <v>5.9355314212554759</v>
      </c>
      <c r="M80" s="288"/>
      <c r="N80" s="289">
        <f t="shared" ref="N80:N152" si="19">O80/E80</f>
        <v>0.21600000000000003</v>
      </c>
      <c r="O80" s="287">
        <f t="shared" si="13"/>
        <v>9.6068274229584549</v>
      </c>
      <c r="P80" s="288"/>
      <c r="Q80" s="288">
        <f t="shared" si="14"/>
        <v>1.296</v>
      </c>
      <c r="R80" s="341">
        <f t="shared" ref="R80:R152" si="20">SUM(S80:T80)</f>
        <v>0</v>
      </c>
      <c r="S80" s="287"/>
      <c r="T80" s="287"/>
      <c r="U80" s="279">
        <f t="shared" ref="U80:U152" si="21">E80+F80+O80+P80+Q80+R80</f>
        <v>64.872495959006201</v>
      </c>
      <c r="V80" s="290"/>
      <c r="W80" s="290"/>
      <c r="X80" s="291">
        <v>2.2106400000000002</v>
      </c>
    </row>
    <row r="81" spans="1:24" ht="15.75">
      <c r="A81" s="283">
        <f t="shared" si="15"/>
        <v>68</v>
      </c>
      <c r="B81" s="295" t="s">
        <v>1369</v>
      </c>
      <c r="C81" s="292">
        <v>2</v>
      </c>
      <c r="D81" s="293"/>
      <c r="E81" s="287">
        <f t="shared" si="16"/>
        <v>77.97754757358345</v>
      </c>
      <c r="F81" s="280">
        <f t="shared" si="18"/>
        <v>30.290732798356551</v>
      </c>
      <c r="G81" s="288"/>
      <c r="H81" s="288"/>
      <c r="I81" s="288">
        <f>E81*0.08</f>
        <v>6.238203805886676</v>
      </c>
      <c r="J81" s="288"/>
      <c r="K81" s="288">
        <f>E81*0.35/C81</f>
        <v>13.646070825377103</v>
      </c>
      <c r="L81" s="288">
        <f t="shared" si="17"/>
        <v>10.406458167092774</v>
      </c>
      <c r="M81" s="288"/>
      <c r="N81" s="289">
        <f t="shared" si="19"/>
        <v>0.216</v>
      </c>
      <c r="O81" s="287">
        <f t="shared" si="13"/>
        <v>16.843150275894025</v>
      </c>
      <c r="P81" s="288"/>
      <c r="Q81" s="288">
        <f t="shared" si="14"/>
        <v>2.5920000000000001</v>
      </c>
      <c r="R81" s="341">
        <f t="shared" si="20"/>
        <v>0</v>
      </c>
      <c r="S81" s="287"/>
      <c r="T81" s="287"/>
      <c r="U81" s="279">
        <f t="shared" si="21"/>
        <v>127.70343064783403</v>
      </c>
      <c r="V81" s="290"/>
      <c r="W81" s="290"/>
      <c r="X81" s="291">
        <v>1.9379</v>
      </c>
    </row>
    <row r="82" spans="1:24" ht="15.75">
      <c r="A82" s="283">
        <f t="shared" si="15"/>
        <v>69</v>
      </c>
      <c r="B82" s="295" t="s">
        <v>1369</v>
      </c>
      <c r="C82" s="292">
        <v>2.25</v>
      </c>
      <c r="D82" s="293"/>
      <c r="E82" s="287">
        <f t="shared" si="16"/>
        <v>87.7247410202814</v>
      </c>
      <c r="F82" s="280">
        <f t="shared" si="18"/>
        <v>28.472438166299817</v>
      </c>
      <c r="G82" s="288"/>
      <c r="H82" s="288"/>
      <c r="I82" s="288">
        <f>E82*0.08</f>
        <v>7.0179792816225124</v>
      </c>
      <c r="J82" s="288"/>
      <c r="K82" s="288">
        <f>E82*0.25/C82</f>
        <v>9.7471934466979331</v>
      </c>
      <c r="L82" s="288">
        <f t="shared" si="17"/>
        <v>11.707265437979371</v>
      </c>
      <c r="M82" s="288"/>
      <c r="N82" s="289">
        <f t="shared" si="19"/>
        <v>0.216</v>
      </c>
      <c r="O82" s="287">
        <f t="shared" si="13"/>
        <v>18.948544060380783</v>
      </c>
      <c r="P82" s="288"/>
      <c r="Q82" s="288">
        <f t="shared" si="14"/>
        <v>2.9159999999999999</v>
      </c>
      <c r="R82" s="341">
        <f t="shared" si="20"/>
        <v>0</v>
      </c>
      <c r="S82" s="287"/>
      <c r="T82" s="287"/>
      <c r="U82" s="279">
        <f t="shared" si="21"/>
        <v>138.061723246962</v>
      </c>
      <c r="V82" s="290"/>
      <c r="W82" s="290"/>
      <c r="X82" s="291">
        <v>1.9379</v>
      </c>
    </row>
    <row r="83" spans="1:24" ht="17.25" customHeight="1">
      <c r="A83" s="283">
        <f t="shared" si="15"/>
        <v>70</v>
      </c>
      <c r="B83" s="295" t="s">
        <v>1370</v>
      </c>
      <c r="C83" s="292">
        <v>3</v>
      </c>
      <c r="D83" s="293"/>
      <c r="E83" s="287">
        <f t="shared" si="16"/>
        <v>93.573057088300132</v>
      </c>
      <c r="F83" s="280">
        <f t="shared" si="18"/>
        <v>19.973594367575338</v>
      </c>
      <c r="G83" s="288"/>
      <c r="H83" s="288"/>
      <c r="I83" s="288">
        <f>E83*0.08</f>
        <v>7.485844567064011</v>
      </c>
      <c r="J83" s="288"/>
      <c r="K83" s="288"/>
      <c r="L83" s="288">
        <f t="shared" si="17"/>
        <v>12.487749800511326</v>
      </c>
      <c r="M83" s="288"/>
      <c r="N83" s="289">
        <f t="shared" si="19"/>
        <v>0.21600000000000003</v>
      </c>
      <c r="O83" s="287">
        <f t="shared" si="13"/>
        <v>20.211780331072831</v>
      </c>
      <c r="P83" s="288"/>
      <c r="Q83" s="288">
        <f t="shared" si="14"/>
        <v>3.8879999999999999</v>
      </c>
      <c r="R83" s="341">
        <f t="shared" si="20"/>
        <v>0</v>
      </c>
      <c r="S83" s="287"/>
      <c r="T83" s="287"/>
      <c r="U83" s="279">
        <f t="shared" si="21"/>
        <v>137.64643178694828</v>
      </c>
      <c r="V83" s="290"/>
      <c r="W83" s="290"/>
      <c r="X83" s="291">
        <v>1.5503199999999999</v>
      </c>
    </row>
    <row r="84" spans="1:24" ht="15.75">
      <c r="A84" s="283">
        <f t="shared" si="15"/>
        <v>71</v>
      </c>
      <c r="B84" s="295" t="s">
        <v>1371</v>
      </c>
      <c r="C84" s="292">
        <v>0.25</v>
      </c>
      <c r="D84" s="293"/>
      <c r="E84" s="287">
        <f t="shared" si="16"/>
        <v>9.7471934466979313</v>
      </c>
      <c r="F84" s="280">
        <f t="shared" si="18"/>
        <v>1.3008072708865968</v>
      </c>
      <c r="G84" s="288"/>
      <c r="H84" s="288"/>
      <c r="I84" s="288"/>
      <c r="J84" s="288"/>
      <c r="K84" s="288"/>
      <c r="L84" s="288">
        <f t="shared" si="17"/>
        <v>1.3008072708865968</v>
      </c>
      <c r="M84" s="288"/>
      <c r="N84" s="289">
        <f t="shared" si="19"/>
        <v>0.2</v>
      </c>
      <c r="O84" s="287">
        <f t="shared" si="13"/>
        <v>1.9494386893395863</v>
      </c>
      <c r="P84" s="288"/>
      <c r="Q84" s="288">
        <f t="shared" si="14"/>
        <v>0.32400000000000001</v>
      </c>
      <c r="R84" s="341">
        <f t="shared" si="20"/>
        <v>0</v>
      </c>
      <c r="S84" s="287"/>
      <c r="T84" s="287"/>
      <c r="U84" s="279">
        <f t="shared" si="21"/>
        <v>13.321439406924116</v>
      </c>
      <c r="V84" s="290"/>
      <c r="W84" s="290"/>
      <c r="X84" s="291">
        <v>1.9379</v>
      </c>
    </row>
    <row r="85" spans="1:24" ht="15.75">
      <c r="A85" s="283">
        <f t="shared" si="15"/>
        <v>72</v>
      </c>
      <c r="B85" s="295" t="s">
        <v>1372</v>
      </c>
      <c r="C85" s="292">
        <v>1</v>
      </c>
      <c r="D85" s="293"/>
      <c r="E85" s="287">
        <f t="shared" si="16"/>
        <v>31.191019029433377</v>
      </c>
      <c r="F85" s="280">
        <f t="shared" si="18"/>
        <v>4.1625832668371086</v>
      </c>
      <c r="G85" s="288"/>
      <c r="H85" s="288"/>
      <c r="I85" s="288"/>
      <c r="J85" s="288"/>
      <c r="K85" s="288"/>
      <c r="L85" s="288">
        <f t="shared" si="17"/>
        <v>4.1625832668371086</v>
      </c>
      <c r="M85" s="288"/>
      <c r="N85" s="289">
        <f t="shared" si="19"/>
        <v>0.2</v>
      </c>
      <c r="O85" s="287">
        <f t="shared" si="13"/>
        <v>6.238203805886676</v>
      </c>
      <c r="P85" s="288"/>
      <c r="Q85" s="288">
        <f t="shared" si="14"/>
        <v>1.296</v>
      </c>
      <c r="R85" s="341">
        <f t="shared" si="20"/>
        <v>0</v>
      </c>
      <c r="S85" s="287"/>
      <c r="T85" s="287"/>
      <c r="U85" s="279">
        <f t="shared" si="21"/>
        <v>42.887806102157164</v>
      </c>
      <c r="V85" s="290"/>
      <c r="W85" s="290"/>
      <c r="X85" s="291">
        <v>1.5503199999999999</v>
      </c>
    </row>
    <row r="86" spans="1:24" ht="17.25" customHeight="1">
      <c r="A86" s="283">
        <f t="shared" si="15"/>
        <v>73</v>
      </c>
      <c r="B86" s="295" t="s">
        <v>1373</v>
      </c>
      <c r="C86" s="292">
        <v>0</v>
      </c>
      <c r="D86" s="293"/>
      <c r="E86" s="287">
        <f t="shared" si="16"/>
        <v>0</v>
      </c>
      <c r="F86" s="280">
        <f t="shared" si="18"/>
        <v>0</v>
      </c>
      <c r="G86" s="288"/>
      <c r="H86" s="288"/>
      <c r="I86" s="288"/>
      <c r="J86" s="288"/>
      <c r="K86" s="288"/>
      <c r="L86" s="288">
        <f t="shared" si="17"/>
        <v>0</v>
      </c>
      <c r="M86" s="288"/>
      <c r="N86" s="289" t="e">
        <f t="shared" si="19"/>
        <v>#DIV/0!</v>
      </c>
      <c r="O86" s="287">
        <f t="shared" si="13"/>
        <v>0</v>
      </c>
      <c r="P86" s="288"/>
      <c r="Q86" s="288">
        <f t="shared" si="14"/>
        <v>0</v>
      </c>
      <c r="R86" s="341">
        <f t="shared" si="20"/>
        <v>0</v>
      </c>
      <c r="S86" s="287"/>
      <c r="T86" s="287"/>
      <c r="U86" s="279">
        <f t="shared" si="21"/>
        <v>0</v>
      </c>
      <c r="V86" s="290"/>
      <c r="W86" s="290"/>
      <c r="X86" s="291">
        <v>1.72258</v>
      </c>
    </row>
    <row r="87" spans="1:24" ht="17.25" customHeight="1">
      <c r="A87" s="283">
        <f t="shared" si="15"/>
        <v>74</v>
      </c>
      <c r="B87" s="295" t="s">
        <v>1374</v>
      </c>
      <c r="C87" s="292">
        <v>0.5</v>
      </c>
      <c r="D87" s="293"/>
      <c r="E87" s="287">
        <f t="shared" si="16"/>
        <v>14.44027168467511</v>
      </c>
      <c r="F87" s="280">
        <f t="shared" si="18"/>
        <v>1.9271198939184602</v>
      </c>
      <c r="G87" s="288"/>
      <c r="H87" s="288"/>
      <c r="I87" s="288"/>
      <c r="J87" s="288"/>
      <c r="K87" s="288"/>
      <c r="L87" s="288">
        <f t="shared" si="17"/>
        <v>1.9271198939184602</v>
      </c>
      <c r="M87" s="288"/>
      <c r="N87" s="289">
        <f t="shared" si="19"/>
        <v>0.2</v>
      </c>
      <c r="O87" s="287">
        <f t="shared" si="13"/>
        <v>2.8880543369350224</v>
      </c>
      <c r="P87" s="288"/>
      <c r="Q87" s="288">
        <f t="shared" si="14"/>
        <v>0.64800000000000002</v>
      </c>
      <c r="R87" s="341">
        <f t="shared" si="20"/>
        <v>0</v>
      </c>
      <c r="S87" s="287"/>
      <c r="T87" s="287"/>
      <c r="U87" s="279">
        <f t="shared" si="21"/>
        <v>19.903445915528589</v>
      </c>
      <c r="V87" s="290"/>
      <c r="W87" s="290"/>
      <c r="X87" s="291">
        <v>1.4354800000000001</v>
      </c>
    </row>
    <row r="88" spans="1:24" ht="15.75">
      <c r="A88" s="283">
        <f t="shared" si="15"/>
        <v>75</v>
      </c>
      <c r="B88" s="295" t="s">
        <v>1363</v>
      </c>
      <c r="C88" s="292">
        <v>10</v>
      </c>
      <c r="D88" s="293"/>
      <c r="E88" s="287">
        <f t="shared" si="16"/>
        <v>389.88773786791734</v>
      </c>
      <c r="F88" s="280">
        <f t="shared" si="18"/>
        <v>149.03024794762126</v>
      </c>
      <c r="G88" s="288">
        <f>E88/2003*60*12*0.4</f>
        <v>56.059744636026068</v>
      </c>
      <c r="H88" s="288"/>
      <c r="I88" s="288">
        <f>E88*0.08</f>
        <v>31.191019029433388</v>
      </c>
      <c r="J88" s="288"/>
      <c r="K88" s="288">
        <f>E88/C88*0.25</f>
        <v>9.7471934466979331</v>
      </c>
      <c r="L88" s="288">
        <f t="shared" si="17"/>
        <v>52.032290835463883</v>
      </c>
      <c r="M88" s="288"/>
      <c r="N88" s="289">
        <f t="shared" si="19"/>
        <v>0.24475686470294564</v>
      </c>
      <c r="O88" s="287">
        <f t="shared" si="13"/>
        <v>95.427700306675376</v>
      </c>
      <c r="P88" s="288"/>
      <c r="Q88" s="288">
        <f t="shared" si="14"/>
        <v>12.96</v>
      </c>
      <c r="R88" s="341">
        <f t="shared" si="20"/>
        <v>0</v>
      </c>
      <c r="S88" s="287"/>
      <c r="T88" s="287"/>
      <c r="U88" s="279">
        <f t="shared" si="21"/>
        <v>647.30568612221396</v>
      </c>
      <c r="V88" s="290"/>
      <c r="W88" s="290"/>
      <c r="X88" s="291">
        <v>1.9379</v>
      </c>
    </row>
    <row r="89" spans="1:24" ht="15.75">
      <c r="A89" s="283">
        <f t="shared" si="15"/>
        <v>76</v>
      </c>
      <c r="B89" s="295" t="s">
        <v>1375</v>
      </c>
      <c r="C89" s="292">
        <v>9</v>
      </c>
      <c r="D89" s="293"/>
      <c r="E89" s="287">
        <f t="shared" si="16"/>
        <v>350.8989640811256</v>
      </c>
      <c r="F89" s="280">
        <f t="shared" si="18"/>
        <v>125.354749050831</v>
      </c>
      <c r="G89" s="288">
        <f>E89/2003*60*12*0.4</f>
        <v>50.453770172423454</v>
      </c>
      <c r="H89" s="288"/>
      <c r="I89" s="288">
        <f>E89*0.08</f>
        <v>28.07191712649005</v>
      </c>
      <c r="J89" s="288"/>
      <c r="K89" s="288"/>
      <c r="L89" s="288">
        <f t="shared" si="17"/>
        <v>46.829061751917486</v>
      </c>
      <c r="M89" s="288"/>
      <c r="N89" s="289">
        <f t="shared" si="19"/>
        <v>0.24475686470294558</v>
      </c>
      <c r="O89" s="287">
        <f t="shared" si="13"/>
        <v>85.884930276007822</v>
      </c>
      <c r="P89" s="288"/>
      <c r="Q89" s="288">
        <f t="shared" si="14"/>
        <v>11.664</v>
      </c>
      <c r="R89" s="341">
        <f t="shared" si="20"/>
        <v>0</v>
      </c>
      <c r="S89" s="287"/>
      <c r="T89" s="287"/>
      <c r="U89" s="279">
        <f t="shared" si="21"/>
        <v>573.80264340796441</v>
      </c>
      <c r="V89" s="290"/>
      <c r="W89" s="290"/>
      <c r="X89" s="291">
        <v>1.9379</v>
      </c>
    </row>
    <row r="90" spans="1:24" ht="31.5">
      <c r="A90" s="283">
        <f t="shared" si="15"/>
        <v>77</v>
      </c>
      <c r="B90" s="295" t="s">
        <v>1376</v>
      </c>
      <c r="C90" s="292">
        <v>6</v>
      </c>
      <c r="D90" s="293"/>
      <c r="E90" s="287">
        <f t="shared" si="16"/>
        <v>233.93264272075044</v>
      </c>
      <c r="F90" s="280">
        <f t="shared" si="18"/>
        <v>83.569832700554002</v>
      </c>
      <c r="G90" s="288">
        <f>E90/2003*60*12*0.4</f>
        <v>33.635846781615641</v>
      </c>
      <c r="H90" s="288"/>
      <c r="I90" s="288">
        <f>E90*0.08</f>
        <v>18.714611417660034</v>
      </c>
      <c r="J90" s="288"/>
      <c r="K90" s="288"/>
      <c r="L90" s="288">
        <f t="shared" si="17"/>
        <v>31.219374501278331</v>
      </c>
      <c r="M90" s="288"/>
      <c r="N90" s="289">
        <f t="shared" si="19"/>
        <v>0.24475686470294561</v>
      </c>
      <c r="O90" s="287">
        <f t="shared" si="13"/>
        <v>57.256620184005229</v>
      </c>
      <c r="P90" s="288"/>
      <c r="Q90" s="288">
        <f t="shared" si="14"/>
        <v>7.7759999999999998</v>
      </c>
      <c r="R90" s="341">
        <f t="shared" si="20"/>
        <v>0</v>
      </c>
      <c r="S90" s="287"/>
      <c r="T90" s="287"/>
      <c r="U90" s="279">
        <f t="shared" si="21"/>
        <v>382.53509560530966</v>
      </c>
      <c r="V90" s="290"/>
      <c r="W90" s="290"/>
      <c r="X90" s="291">
        <v>1.9379</v>
      </c>
    </row>
    <row r="91" spans="1:24" ht="31.5">
      <c r="A91" s="283">
        <f t="shared" si="15"/>
        <v>78</v>
      </c>
      <c r="B91" s="295" t="s">
        <v>1377</v>
      </c>
      <c r="C91" s="292">
        <v>0.25</v>
      </c>
      <c r="D91" s="293"/>
      <c r="E91" s="287">
        <f t="shared" si="16"/>
        <v>7.7977547573583443</v>
      </c>
      <c r="F91" s="280">
        <f t="shared" si="18"/>
        <v>1.0406458167092771</v>
      </c>
      <c r="G91" s="288"/>
      <c r="H91" s="288"/>
      <c r="I91" s="288"/>
      <c r="J91" s="288"/>
      <c r="K91" s="288"/>
      <c r="L91" s="288">
        <f t="shared" si="17"/>
        <v>1.0406458167092771</v>
      </c>
      <c r="M91" s="288"/>
      <c r="N91" s="289">
        <f t="shared" si="19"/>
        <v>0.2</v>
      </c>
      <c r="O91" s="287">
        <f t="shared" si="13"/>
        <v>1.559550951471669</v>
      </c>
      <c r="P91" s="288"/>
      <c r="Q91" s="288">
        <f t="shared" si="14"/>
        <v>0.32400000000000001</v>
      </c>
      <c r="R91" s="341">
        <f t="shared" si="20"/>
        <v>0</v>
      </c>
      <c r="S91" s="287"/>
      <c r="T91" s="287"/>
      <c r="U91" s="279">
        <f t="shared" si="21"/>
        <v>10.721951525539291</v>
      </c>
      <c r="V91" s="290"/>
      <c r="W91" s="290"/>
      <c r="X91" s="291">
        <v>1.5503199999999999</v>
      </c>
    </row>
    <row r="92" spans="1:24" ht="31.5">
      <c r="A92" s="283">
        <f t="shared" si="15"/>
        <v>79</v>
      </c>
      <c r="B92" s="295" t="s">
        <v>1378</v>
      </c>
      <c r="C92" s="292">
        <v>5</v>
      </c>
      <c r="D92" s="293"/>
      <c r="E92" s="287">
        <f t="shared" si="16"/>
        <v>194.94386893395867</v>
      </c>
      <c r="F92" s="280">
        <f t="shared" si="18"/>
        <v>69.641527250461678</v>
      </c>
      <c r="G92" s="288">
        <f>E92/2003*60*12*0.4</f>
        <v>28.029872318013034</v>
      </c>
      <c r="H92" s="288"/>
      <c r="I92" s="288">
        <f t="shared" ref="I92:I100" si="22">E92*0.08</f>
        <v>15.595509514716694</v>
      </c>
      <c r="J92" s="288"/>
      <c r="K92" s="288"/>
      <c r="L92" s="288">
        <f t="shared" si="17"/>
        <v>26.016145417731941</v>
      </c>
      <c r="M92" s="288"/>
      <c r="N92" s="289">
        <f t="shared" si="19"/>
        <v>0.24475686470294564</v>
      </c>
      <c r="O92" s="287">
        <f t="shared" si="13"/>
        <v>47.713850153337688</v>
      </c>
      <c r="P92" s="288"/>
      <c r="Q92" s="288">
        <f t="shared" si="14"/>
        <v>6.48</v>
      </c>
      <c r="R92" s="341">
        <f t="shared" si="20"/>
        <v>0</v>
      </c>
      <c r="S92" s="287"/>
      <c r="T92" s="287"/>
      <c r="U92" s="279">
        <f t="shared" si="21"/>
        <v>318.77924633775808</v>
      </c>
      <c r="V92" s="290"/>
      <c r="W92" s="290"/>
      <c r="X92" s="291">
        <v>1.9379</v>
      </c>
    </row>
    <row r="93" spans="1:24" ht="17.25" customHeight="1">
      <c r="A93" s="283">
        <f t="shared" si="15"/>
        <v>80</v>
      </c>
      <c r="B93" s="295" t="s">
        <v>1379</v>
      </c>
      <c r="C93" s="292">
        <v>10</v>
      </c>
      <c r="D93" s="293"/>
      <c r="E93" s="287">
        <f t="shared" si="16"/>
        <v>389.88773786791734</v>
      </c>
      <c r="F93" s="280">
        <f t="shared" si="18"/>
        <v>139.28305450092336</v>
      </c>
      <c r="G93" s="288">
        <f>E93/2003*60*12*0.4</f>
        <v>56.059744636026068</v>
      </c>
      <c r="H93" s="288"/>
      <c r="I93" s="288">
        <f t="shared" si="22"/>
        <v>31.191019029433388</v>
      </c>
      <c r="J93" s="288"/>
      <c r="K93" s="288"/>
      <c r="L93" s="288">
        <f t="shared" si="17"/>
        <v>52.032290835463883</v>
      </c>
      <c r="M93" s="288"/>
      <c r="N93" s="289">
        <f t="shared" si="19"/>
        <v>0.24475686470294564</v>
      </c>
      <c r="O93" s="287">
        <f t="shared" si="13"/>
        <v>95.427700306675376</v>
      </c>
      <c r="P93" s="288"/>
      <c r="Q93" s="288">
        <f t="shared" si="14"/>
        <v>12.96</v>
      </c>
      <c r="R93" s="341">
        <f t="shared" si="20"/>
        <v>0</v>
      </c>
      <c r="S93" s="287"/>
      <c r="T93" s="287"/>
      <c r="U93" s="279">
        <f t="shared" si="21"/>
        <v>637.55849267551616</v>
      </c>
      <c r="V93" s="290"/>
      <c r="W93" s="290"/>
      <c r="X93" s="291">
        <v>1.9379</v>
      </c>
    </row>
    <row r="94" spans="1:24" ht="31.5">
      <c r="A94" s="283">
        <f t="shared" si="15"/>
        <v>81</v>
      </c>
      <c r="B94" s="295" t="s">
        <v>1380</v>
      </c>
      <c r="C94" s="292">
        <v>2</v>
      </c>
      <c r="D94" s="293"/>
      <c r="E94" s="287">
        <f t="shared" si="16"/>
        <v>103.96979517698506</v>
      </c>
      <c r="F94" s="280">
        <f t="shared" si="18"/>
        <v>22.192825370505538</v>
      </c>
      <c r="G94" s="288"/>
      <c r="H94" s="288"/>
      <c r="I94" s="288">
        <f t="shared" si="22"/>
        <v>8.3175836141588047</v>
      </c>
      <c r="J94" s="288"/>
      <c r="K94" s="288"/>
      <c r="L94" s="288">
        <f t="shared" si="17"/>
        <v>13.875241756346732</v>
      </c>
      <c r="M94" s="288"/>
      <c r="N94" s="289">
        <f t="shared" si="19"/>
        <v>0.21600000000000003</v>
      </c>
      <c r="O94" s="287">
        <f t="shared" si="13"/>
        <v>22.457475758228775</v>
      </c>
      <c r="P94" s="288"/>
      <c r="Q94" s="288">
        <f t="shared" si="14"/>
        <v>2.5920000000000001</v>
      </c>
      <c r="R94" s="341">
        <f t="shared" si="20"/>
        <v>0</v>
      </c>
      <c r="S94" s="287"/>
      <c r="T94" s="287"/>
      <c r="U94" s="279">
        <f t="shared" si="21"/>
        <v>151.2120963057194</v>
      </c>
      <c r="V94" s="290"/>
      <c r="W94" s="290"/>
      <c r="X94" s="291">
        <v>2.58386</v>
      </c>
    </row>
    <row r="95" spans="1:24" ht="31.5">
      <c r="A95" s="283">
        <f t="shared" si="15"/>
        <v>82</v>
      </c>
      <c r="B95" s="295" t="s">
        <v>1381</v>
      </c>
      <c r="C95" s="292">
        <v>4</v>
      </c>
      <c r="D95" s="293"/>
      <c r="E95" s="287">
        <f t="shared" si="16"/>
        <v>177.90421153626767</v>
      </c>
      <c r="F95" s="280">
        <f t="shared" si="18"/>
        <v>63.55429931408662</v>
      </c>
      <c r="G95" s="288">
        <f>E95/2003*60*12*0.4</f>
        <v>25.579836706163299</v>
      </c>
      <c r="H95" s="288"/>
      <c r="I95" s="288">
        <f t="shared" si="22"/>
        <v>14.232336922901414</v>
      </c>
      <c r="J95" s="288"/>
      <c r="K95" s="288"/>
      <c r="L95" s="288">
        <f t="shared" si="17"/>
        <v>23.742125685021904</v>
      </c>
      <c r="M95" s="288"/>
      <c r="N95" s="289">
        <f t="shared" si="19"/>
        <v>0.24475686470294561</v>
      </c>
      <c r="O95" s="287">
        <f t="shared" si="13"/>
        <v>43.543277033066481</v>
      </c>
      <c r="P95" s="288"/>
      <c r="Q95" s="288">
        <f t="shared" si="14"/>
        <v>5.1840000000000002</v>
      </c>
      <c r="R95" s="341">
        <f t="shared" si="20"/>
        <v>0</v>
      </c>
      <c r="S95" s="287"/>
      <c r="T95" s="287"/>
      <c r="U95" s="279">
        <f t="shared" si="21"/>
        <v>290.1857878834208</v>
      </c>
      <c r="V95" s="290"/>
      <c r="W95" s="290"/>
      <c r="X95" s="291">
        <v>2.2106400000000002</v>
      </c>
    </row>
    <row r="96" spans="1:24" ht="31.5">
      <c r="A96" s="283">
        <f t="shared" si="15"/>
        <v>83</v>
      </c>
      <c r="B96" s="295" t="s">
        <v>1382</v>
      </c>
      <c r="C96" s="292">
        <v>0</v>
      </c>
      <c r="D96" s="293"/>
      <c r="E96" s="287">
        <f t="shared" si="16"/>
        <v>0</v>
      </c>
      <c r="F96" s="280">
        <f t="shared" si="18"/>
        <v>0</v>
      </c>
      <c r="G96" s="288"/>
      <c r="H96" s="288"/>
      <c r="I96" s="288">
        <f t="shared" si="22"/>
        <v>0</v>
      </c>
      <c r="J96" s="288"/>
      <c r="K96" s="288"/>
      <c r="L96" s="288">
        <f t="shared" si="17"/>
        <v>0</v>
      </c>
      <c r="M96" s="288"/>
      <c r="N96" s="289" t="e">
        <f t="shared" si="19"/>
        <v>#DIV/0!</v>
      </c>
      <c r="O96" s="287">
        <f t="shared" si="13"/>
        <v>0</v>
      </c>
      <c r="P96" s="288"/>
      <c r="Q96" s="288">
        <f t="shared" si="14"/>
        <v>0</v>
      </c>
      <c r="R96" s="341">
        <f t="shared" si="20"/>
        <v>0</v>
      </c>
      <c r="S96" s="287"/>
      <c r="T96" s="287"/>
      <c r="U96" s="279">
        <f t="shared" si="21"/>
        <v>0</v>
      </c>
      <c r="V96" s="290"/>
      <c r="W96" s="290"/>
      <c r="X96" s="291">
        <v>1.72258</v>
      </c>
    </row>
    <row r="97" spans="1:24" ht="31.5">
      <c r="A97" s="283">
        <f t="shared" si="15"/>
        <v>84</v>
      </c>
      <c r="B97" s="295" t="s">
        <v>1383</v>
      </c>
      <c r="C97" s="292">
        <v>4</v>
      </c>
      <c r="D97" s="293"/>
      <c r="E97" s="287">
        <f t="shared" si="16"/>
        <v>177.90421153626767</v>
      </c>
      <c r="F97" s="280">
        <f t="shared" si="18"/>
        <v>63.55429931408662</v>
      </c>
      <c r="G97" s="288">
        <f>E97/2003*60*12*0.4</f>
        <v>25.579836706163299</v>
      </c>
      <c r="H97" s="288"/>
      <c r="I97" s="288">
        <f t="shared" si="22"/>
        <v>14.232336922901414</v>
      </c>
      <c r="J97" s="288"/>
      <c r="K97" s="288"/>
      <c r="L97" s="288">
        <f t="shared" si="17"/>
        <v>23.742125685021904</v>
      </c>
      <c r="M97" s="288"/>
      <c r="N97" s="289">
        <f t="shared" si="19"/>
        <v>0.24475686470294561</v>
      </c>
      <c r="O97" s="287">
        <f t="shared" si="13"/>
        <v>43.543277033066481</v>
      </c>
      <c r="P97" s="288"/>
      <c r="Q97" s="288">
        <f t="shared" si="14"/>
        <v>5.1840000000000002</v>
      </c>
      <c r="R97" s="341">
        <f t="shared" si="20"/>
        <v>0</v>
      </c>
      <c r="S97" s="287"/>
      <c r="T97" s="287"/>
      <c r="U97" s="279">
        <f t="shared" si="21"/>
        <v>290.1857878834208</v>
      </c>
      <c r="V97" s="290"/>
      <c r="W97" s="290"/>
      <c r="X97" s="291">
        <v>2.2106400000000002</v>
      </c>
    </row>
    <row r="98" spans="1:24" ht="31.5">
      <c r="A98" s="283">
        <f t="shared" si="15"/>
        <v>85</v>
      </c>
      <c r="B98" s="295" t="s">
        <v>1384</v>
      </c>
      <c r="C98" s="292">
        <v>2</v>
      </c>
      <c r="D98" s="293"/>
      <c r="E98" s="287">
        <f t="shared" si="16"/>
        <v>77.97754757358345</v>
      </c>
      <c r="F98" s="280">
        <f t="shared" si="18"/>
        <v>16.644661972979449</v>
      </c>
      <c r="G98" s="288"/>
      <c r="H98" s="288"/>
      <c r="I98" s="288">
        <f t="shared" si="22"/>
        <v>6.238203805886676</v>
      </c>
      <c r="J98" s="288"/>
      <c r="K98" s="288"/>
      <c r="L98" s="288">
        <f t="shared" si="17"/>
        <v>10.406458167092774</v>
      </c>
      <c r="M98" s="288"/>
      <c r="N98" s="289">
        <f t="shared" si="19"/>
        <v>0.216</v>
      </c>
      <c r="O98" s="287">
        <f t="shared" si="13"/>
        <v>16.843150275894025</v>
      </c>
      <c r="P98" s="288"/>
      <c r="Q98" s="288">
        <f t="shared" si="14"/>
        <v>2.5920000000000001</v>
      </c>
      <c r="R98" s="341">
        <f t="shared" si="20"/>
        <v>0</v>
      </c>
      <c r="S98" s="287"/>
      <c r="T98" s="287"/>
      <c r="U98" s="279">
        <f t="shared" si="21"/>
        <v>114.05735982245692</v>
      </c>
      <c r="V98" s="290"/>
      <c r="W98" s="290"/>
      <c r="X98" s="291">
        <v>1.9379</v>
      </c>
    </row>
    <row r="99" spans="1:24" ht="15.75">
      <c r="A99" s="283">
        <f t="shared" si="15"/>
        <v>86</v>
      </c>
      <c r="B99" s="295" t="s">
        <v>1385</v>
      </c>
      <c r="C99" s="292">
        <v>3</v>
      </c>
      <c r="D99" s="293"/>
      <c r="E99" s="287">
        <f t="shared" si="16"/>
        <v>133.42815865220072</v>
      </c>
      <c r="F99" s="280">
        <f t="shared" si="18"/>
        <v>28.480846955942482</v>
      </c>
      <c r="G99" s="288"/>
      <c r="H99" s="288"/>
      <c r="I99" s="288">
        <f t="shared" si="22"/>
        <v>10.674252692176058</v>
      </c>
      <c r="J99" s="288"/>
      <c r="K99" s="288"/>
      <c r="L99" s="288">
        <f t="shared" si="17"/>
        <v>17.806594263766424</v>
      </c>
      <c r="M99" s="288"/>
      <c r="N99" s="289">
        <f t="shared" si="19"/>
        <v>0.216</v>
      </c>
      <c r="O99" s="287">
        <f t="shared" si="13"/>
        <v>28.820482268875356</v>
      </c>
      <c r="P99" s="288"/>
      <c r="Q99" s="288">
        <f t="shared" si="14"/>
        <v>3.8879999999999999</v>
      </c>
      <c r="R99" s="341">
        <f t="shared" si="20"/>
        <v>0</v>
      </c>
      <c r="S99" s="287"/>
      <c r="T99" s="287"/>
      <c r="U99" s="279">
        <f t="shared" si="21"/>
        <v>194.61748787701859</v>
      </c>
      <c r="V99" s="290"/>
      <c r="W99" s="290"/>
      <c r="X99" s="291">
        <v>2.2106400000000002</v>
      </c>
    </row>
    <row r="100" spans="1:24" ht="15.75">
      <c r="A100" s="283">
        <f t="shared" si="15"/>
        <v>87</v>
      </c>
      <c r="B100" s="295" t="s">
        <v>1386</v>
      </c>
      <c r="C100" s="292">
        <v>1</v>
      </c>
      <c r="D100" s="293"/>
      <c r="E100" s="287">
        <f t="shared" si="16"/>
        <v>38.988773786791725</v>
      </c>
      <c r="F100" s="280">
        <f t="shared" si="18"/>
        <v>18.069524433187656</v>
      </c>
      <c r="G100" s="288"/>
      <c r="H100" s="288"/>
      <c r="I100" s="288">
        <f t="shared" si="22"/>
        <v>3.119101902943338</v>
      </c>
      <c r="J100" s="288"/>
      <c r="K100" s="288">
        <f>E100/C100*0.25</f>
        <v>9.7471934466979313</v>
      </c>
      <c r="L100" s="288">
        <f t="shared" si="17"/>
        <v>5.203229083546387</v>
      </c>
      <c r="M100" s="288"/>
      <c r="N100" s="289">
        <f t="shared" si="19"/>
        <v>0.216</v>
      </c>
      <c r="O100" s="287">
        <f t="shared" si="13"/>
        <v>8.4215751379470127</v>
      </c>
      <c r="P100" s="288"/>
      <c r="Q100" s="288">
        <f t="shared" si="14"/>
        <v>1.296</v>
      </c>
      <c r="R100" s="341">
        <f t="shared" si="20"/>
        <v>0</v>
      </c>
      <c r="S100" s="287"/>
      <c r="T100" s="287"/>
      <c r="U100" s="279">
        <f t="shared" si="21"/>
        <v>66.7758733579264</v>
      </c>
      <c r="V100" s="290"/>
      <c r="W100" s="290"/>
      <c r="X100" s="291">
        <v>1.9379</v>
      </c>
    </row>
    <row r="101" spans="1:24" ht="15.75">
      <c r="A101" s="283">
        <f t="shared" si="15"/>
        <v>88</v>
      </c>
      <c r="B101" s="295" t="s">
        <v>1387</v>
      </c>
      <c r="C101" s="292">
        <v>1</v>
      </c>
      <c r="D101" s="293"/>
      <c r="E101" s="287">
        <f t="shared" si="16"/>
        <v>44.476052884066917</v>
      </c>
      <c r="F101" s="280">
        <f t="shared" si="18"/>
        <v>11.272657767343507</v>
      </c>
      <c r="G101" s="288"/>
      <c r="H101" s="288"/>
      <c r="I101" s="288">
        <f>E101*0.12</f>
        <v>5.3371263460880298</v>
      </c>
      <c r="J101" s="288"/>
      <c r="K101" s="288"/>
      <c r="L101" s="288">
        <f t="shared" si="17"/>
        <v>5.9355314212554759</v>
      </c>
      <c r="M101" s="288"/>
      <c r="N101" s="289">
        <f t="shared" si="19"/>
        <v>0.224</v>
      </c>
      <c r="O101" s="287">
        <f t="shared" si="13"/>
        <v>9.9626358460309898</v>
      </c>
      <c r="P101" s="288"/>
      <c r="Q101" s="288">
        <f t="shared" si="14"/>
        <v>1.296</v>
      </c>
      <c r="R101" s="341">
        <f t="shared" si="20"/>
        <v>0</v>
      </c>
      <c r="S101" s="287"/>
      <c r="T101" s="287"/>
      <c r="U101" s="279">
        <f t="shared" si="21"/>
        <v>67.007346497441418</v>
      </c>
      <c r="V101" s="290"/>
      <c r="W101" s="290"/>
      <c r="X101" s="291">
        <v>2.2106400000000002</v>
      </c>
    </row>
    <row r="102" spans="1:24" ht="15.75">
      <c r="A102" s="283">
        <f t="shared" si="15"/>
        <v>89</v>
      </c>
      <c r="B102" s="295" t="s">
        <v>1388</v>
      </c>
      <c r="C102" s="292">
        <v>1</v>
      </c>
      <c r="D102" s="293"/>
      <c r="E102" s="287">
        <f t="shared" si="16"/>
        <v>51.98489758849253</v>
      </c>
      <c r="F102" s="280">
        <f t="shared" si="18"/>
        <v>13.175808588792469</v>
      </c>
      <c r="G102" s="288"/>
      <c r="H102" s="288"/>
      <c r="I102" s="288">
        <f>E102*0.12</f>
        <v>6.238187710619103</v>
      </c>
      <c r="J102" s="288"/>
      <c r="K102" s="288"/>
      <c r="L102" s="288">
        <f t="shared" si="17"/>
        <v>6.9376208781733659</v>
      </c>
      <c r="M102" s="288"/>
      <c r="N102" s="289">
        <f t="shared" si="19"/>
        <v>0.224</v>
      </c>
      <c r="O102" s="287">
        <f t="shared" si="13"/>
        <v>11.644617059822327</v>
      </c>
      <c r="P102" s="288"/>
      <c r="Q102" s="288">
        <f t="shared" si="14"/>
        <v>1.296</v>
      </c>
      <c r="R102" s="341">
        <f t="shared" si="20"/>
        <v>0</v>
      </c>
      <c r="S102" s="287"/>
      <c r="T102" s="287"/>
      <c r="U102" s="279">
        <f t="shared" si="21"/>
        <v>78.101323237107323</v>
      </c>
      <c r="V102" s="290"/>
      <c r="W102" s="290"/>
      <c r="X102" s="291">
        <v>2.58386</v>
      </c>
    </row>
    <row r="103" spans="1:24" ht="15.75">
      <c r="A103" s="283">
        <f t="shared" si="15"/>
        <v>90</v>
      </c>
      <c r="B103" s="295" t="s">
        <v>1389</v>
      </c>
      <c r="C103" s="292">
        <v>1</v>
      </c>
      <c r="D103" s="293"/>
      <c r="E103" s="287">
        <f t="shared" si="16"/>
        <v>38.988773786791725</v>
      </c>
      <c r="F103" s="280">
        <f t="shared" si="18"/>
        <v>5.203229083546387</v>
      </c>
      <c r="G103" s="288"/>
      <c r="H103" s="288"/>
      <c r="I103" s="288"/>
      <c r="J103" s="288"/>
      <c r="K103" s="288"/>
      <c r="L103" s="288">
        <f t="shared" si="17"/>
        <v>5.203229083546387</v>
      </c>
      <c r="M103" s="288"/>
      <c r="N103" s="289">
        <f t="shared" si="19"/>
        <v>0.2</v>
      </c>
      <c r="O103" s="287">
        <f t="shared" si="13"/>
        <v>7.7977547573583452</v>
      </c>
      <c r="P103" s="288"/>
      <c r="Q103" s="288">
        <f t="shared" si="14"/>
        <v>1.296</v>
      </c>
      <c r="R103" s="341">
        <f t="shared" si="20"/>
        <v>0</v>
      </c>
      <c r="S103" s="287"/>
      <c r="T103" s="287"/>
      <c r="U103" s="279">
        <f t="shared" si="21"/>
        <v>53.285757627696462</v>
      </c>
      <c r="V103" s="290"/>
      <c r="W103" s="290"/>
      <c r="X103" s="291">
        <v>1.9379</v>
      </c>
    </row>
    <row r="104" spans="1:24" ht="15.75">
      <c r="A104" s="283">
        <f t="shared" si="15"/>
        <v>91</v>
      </c>
      <c r="B104" s="295" t="s">
        <v>1390</v>
      </c>
      <c r="C104" s="292">
        <v>2</v>
      </c>
      <c r="D104" s="293"/>
      <c r="E104" s="287">
        <f t="shared" si="16"/>
        <v>62.382038058866755</v>
      </c>
      <c r="F104" s="280">
        <f t="shared" si="18"/>
        <v>8.3251665336742171</v>
      </c>
      <c r="G104" s="288"/>
      <c r="H104" s="288"/>
      <c r="I104" s="288"/>
      <c r="J104" s="288"/>
      <c r="K104" s="288"/>
      <c r="L104" s="288">
        <f t="shared" si="17"/>
        <v>8.3251665336742171</v>
      </c>
      <c r="M104" s="288"/>
      <c r="N104" s="289">
        <f t="shared" si="19"/>
        <v>0.2</v>
      </c>
      <c r="O104" s="287">
        <f t="shared" si="13"/>
        <v>12.476407611773352</v>
      </c>
      <c r="P104" s="288"/>
      <c r="Q104" s="288">
        <f t="shared" si="14"/>
        <v>2.5920000000000001</v>
      </c>
      <c r="R104" s="341">
        <f t="shared" si="20"/>
        <v>0</v>
      </c>
      <c r="S104" s="287"/>
      <c r="T104" s="287"/>
      <c r="U104" s="279">
        <f t="shared" si="21"/>
        <v>85.775612204314328</v>
      </c>
      <c r="V104" s="290"/>
      <c r="W104" s="290"/>
      <c r="X104" s="291">
        <v>1.5503199999999999</v>
      </c>
    </row>
    <row r="105" spans="1:24" ht="17.25" customHeight="1">
      <c r="A105" s="283">
        <f t="shared" si="15"/>
        <v>92</v>
      </c>
      <c r="B105" s="295" t="s">
        <v>1374</v>
      </c>
      <c r="C105" s="292">
        <v>0</v>
      </c>
      <c r="D105" s="293"/>
      <c r="E105" s="287">
        <f t="shared" si="16"/>
        <v>0</v>
      </c>
      <c r="F105" s="280">
        <f t="shared" si="18"/>
        <v>0</v>
      </c>
      <c r="G105" s="288"/>
      <c r="H105" s="288"/>
      <c r="I105" s="288"/>
      <c r="J105" s="288"/>
      <c r="K105" s="288"/>
      <c r="L105" s="288">
        <f t="shared" si="17"/>
        <v>0</v>
      </c>
      <c r="M105" s="288"/>
      <c r="N105" s="289" t="e">
        <f t="shared" si="19"/>
        <v>#DIV/0!</v>
      </c>
      <c r="O105" s="287">
        <f t="shared" si="13"/>
        <v>0</v>
      </c>
      <c r="P105" s="288"/>
      <c r="Q105" s="288">
        <f t="shared" si="14"/>
        <v>0</v>
      </c>
      <c r="R105" s="341">
        <f t="shared" si="20"/>
        <v>0</v>
      </c>
      <c r="S105" s="287"/>
      <c r="T105" s="287"/>
      <c r="U105" s="279">
        <f t="shared" si="21"/>
        <v>0</v>
      </c>
      <c r="V105" s="290"/>
      <c r="W105" s="290"/>
      <c r="X105" s="291">
        <v>1.4354800000000001</v>
      </c>
    </row>
    <row r="106" spans="1:24" ht="31.35" customHeight="1">
      <c r="A106" s="283">
        <f t="shared" si="15"/>
        <v>93</v>
      </c>
      <c r="B106" s="295" t="s">
        <v>1364</v>
      </c>
      <c r="C106" s="292">
        <v>5</v>
      </c>
      <c r="D106" s="293"/>
      <c r="E106" s="287">
        <f t="shared" si="16"/>
        <v>194.94386893395867</v>
      </c>
      <c r="F106" s="280">
        <f t="shared" si="18"/>
        <v>87.186475454517961</v>
      </c>
      <c r="G106" s="288">
        <f>E106/2003*60*12*0.4</f>
        <v>28.029872318013034</v>
      </c>
      <c r="H106" s="288"/>
      <c r="I106" s="288">
        <f>E106*0.12</f>
        <v>23.39326427207504</v>
      </c>
      <c r="J106" s="288"/>
      <c r="K106" s="288">
        <f>E106/C106*0.25</f>
        <v>9.7471934466979331</v>
      </c>
      <c r="L106" s="288">
        <f t="shared" si="17"/>
        <v>26.016145417731941</v>
      </c>
      <c r="M106" s="288"/>
      <c r="N106" s="289">
        <f t="shared" si="19"/>
        <v>0.25275686470294562</v>
      </c>
      <c r="O106" s="287">
        <f t="shared" si="13"/>
        <v>49.273401104809352</v>
      </c>
      <c r="P106" s="288"/>
      <c r="Q106" s="288">
        <f t="shared" si="14"/>
        <v>6.48</v>
      </c>
      <c r="R106" s="341">
        <f t="shared" si="20"/>
        <v>0</v>
      </c>
      <c r="S106" s="287"/>
      <c r="T106" s="287"/>
      <c r="U106" s="279">
        <f t="shared" si="21"/>
        <v>337.88374549328597</v>
      </c>
      <c r="V106" s="290"/>
      <c r="W106" s="290"/>
      <c r="X106" s="291">
        <v>1.9379</v>
      </c>
    </row>
    <row r="107" spans="1:24" ht="15.75">
      <c r="A107" s="283">
        <f t="shared" si="15"/>
        <v>94</v>
      </c>
      <c r="B107" s="295" t="s">
        <v>1391</v>
      </c>
      <c r="C107" s="292">
        <v>16</v>
      </c>
      <c r="D107" s="293"/>
      <c r="E107" s="287">
        <f t="shared" si="16"/>
        <v>499.05630447093404</v>
      </c>
      <c r="F107" s="280">
        <f t="shared" si="18"/>
        <v>138.35780540350709</v>
      </c>
      <c r="G107" s="288">
        <f>E107/2003*60*12*0.4</f>
        <v>71.756473134113335</v>
      </c>
      <c r="H107" s="288"/>
      <c r="I107" s="288"/>
      <c r="J107" s="288"/>
      <c r="K107" s="288"/>
      <c r="L107" s="288">
        <f t="shared" si="17"/>
        <v>66.601332269393737</v>
      </c>
      <c r="M107" s="288"/>
      <c r="N107" s="289">
        <f t="shared" si="19"/>
        <v>0.22875686470294559</v>
      </c>
      <c r="O107" s="287">
        <f t="shared" si="13"/>
        <v>114.16255552100948</v>
      </c>
      <c r="P107" s="288"/>
      <c r="Q107" s="288">
        <f t="shared" si="14"/>
        <v>20.736000000000001</v>
      </c>
      <c r="R107" s="341">
        <f t="shared" si="20"/>
        <v>0</v>
      </c>
      <c r="S107" s="287"/>
      <c r="T107" s="287"/>
      <c r="U107" s="279">
        <f t="shared" si="21"/>
        <v>772.31266539545061</v>
      </c>
      <c r="V107" s="290"/>
      <c r="W107" s="290"/>
      <c r="X107" s="291">
        <v>1.5503199999999999</v>
      </c>
    </row>
    <row r="108" spans="1:24" ht="31.5">
      <c r="A108" s="283">
        <f t="shared" si="15"/>
        <v>95</v>
      </c>
      <c r="B108" s="295" t="s">
        <v>1392</v>
      </c>
      <c r="C108" s="292">
        <v>2</v>
      </c>
      <c r="D108" s="293"/>
      <c r="E108" s="287">
        <f t="shared" si="16"/>
        <v>62.382038058866755</v>
      </c>
      <c r="F108" s="280">
        <f t="shared" si="18"/>
        <v>8.3251665336742171</v>
      </c>
      <c r="G108" s="288"/>
      <c r="H108" s="288"/>
      <c r="I108" s="288"/>
      <c r="J108" s="288"/>
      <c r="K108" s="288"/>
      <c r="L108" s="288">
        <f t="shared" si="17"/>
        <v>8.3251665336742171</v>
      </c>
      <c r="M108" s="288"/>
      <c r="N108" s="289">
        <f t="shared" si="19"/>
        <v>0.2</v>
      </c>
      <c r="O108" s="287">
        <f t="shared" si="13"/>
        <v>12.476407611773352</v>
      </c>
      <c r="P108" s="288"/>
      <c r="Q108" s="288">
        <f t="shared" si="14"/>
        <v>2.5920000000000001</v>
      </c>
      <c r="R108" s="341">
        <f t="shared" si="20"/>
        <v>0</v>
      </c>
      <c r="S108" s="287"/>
      <c r="T108" s="287"/>
      <c r="U108" s="279">
        <f t="shared" si="21"/>
        <v>85.775612204314328</v>
      </c>
      <c r="V108" s="290"/>
      <c r="W108" s="290"/>
      <c r="X108" s="291">
        <v>1.5503199999999999</v>
      </c>
    </row>
    <row r="109" spans="1:24" ht="31.5">
      <c r="A109" s="283">
        <f t="shared" si="15"/>
        <v>96</v>
      </c>
      <c r="B109" s="295" t="s">
        <v>1393</v>
      </c>
      <c r="C109" s="292">
        <v>0</v>
      </c>
      <c r="D109" s="293"/>
      <c r="E109" s="287">
        <f t="shared" si="16"/>
        <v>0</v>
      </c>
      <c r="F109" s="280">
        <f t="shared" si="18"/>
        <v>0</v>
      </c>
      <c r="G109" s="288"/>
      <c r="H109" s="288"/>
      <c r="I109" s="288">
        <f t="shared" ref="I109:I114" si="23">E109*0.08</f>
        <v>0</v>
      </c>
      <c r="J109" s="288"/>
      <c r="K109" s="288"/>
      <c r="L109" s="288">
        <f t="shared" si="17"/>
        <v>0</v>
      </c>
      <c r="M109" s="288"/>
      <c r="N109" s="289" t="e">
        <f t="shared" si="19"/>
        <v>#DIV/0!</v>
      </c>
      <c r="O109" s="287">
        <f t="shared" si="13"/>
        <v>0</v>
      </c>
      <c r="P109" s="288"/>
      <c r="Q109" s="288">
        <f t="shared" si="14"/>
        <v>0</v>
      </c>
      <c r="R109" s="341">
        <f t="shared" si="20"/>
        <v>0</v>
      </c>
      <c r="S109" s="287"/>
      <c r="T109" s="287"/>
      <c r="U109" s="279">
        <f t="shared" si="21"/>
        <v>0</v>
      </c>
      <c r="V109" s="290"/>
      <c r="W109" s="290"/>
      <c r="X109" s="291">
        <v>1.9379</v>
      </c>
    </row>
    <row r="110" spans="1:24" ht="31.5">
      <c r="A110" s="283">
        <f t="shared" si="15"/>
        <v>97</v>
      </c>
      <c r="B110" s="295" t="s">
        <v>1394</v>
      </c>
      <c r="C110" s="292">
        <v>2</v>
      </c>
      <c r="D110" s="293"/>
      <c r="E110" s="287">
        <f t="shared" si="16"/>
        <v>88.952105768133833</v>
      </c>
      <c r="F110" s="280">
        <f t="shared" si="18"/>
        <v>18.987231303961657</v>
      </c>
      <c r="G110" s="288"/>
      <c r="H110" s="288"/>
      <c r="I110" s="288">
        <f t="shared" si="23"/>
        <v>7.116168461450707</v>
      </c>
      <c r="J110" s="288"/>
      <c r="K110" s="288"/>
      <c r="L110" s="288">
        <f t="shared" si="17"/>
        <v>11.871062842510952</v>
      </c>
      <c r="M110" s="288"/>
      <c r="N110" s="289">
        <f t="shared" si="19"/>
        <v>0.21600000000000003</v>
      </c>
      <c r="O110" s="287">
        <f t="shared" si="13"/>
        <v>19.21365484591691</v>
      </c>
      <c r="P110" s="288"/>
      <c r="Q110" s="288">
        <f t="shared" si="14"/>
        <v>2.5920000000000001</v>
      </c>
      <c r="R110" s="341">
        <f t="shared" si="20"/>
        <v>0</v>
      </c>
      <c r="S110" s="287"/>
      <c r="T110" s="287"/>
      <c r="U110" s="279">
        <f t="shared" si="21"/>
        <v>129.7449919180124</v>
      </c>
      <c r="V110" s="290"/>
      <c r="W110" s="290"/>
      <c r="X110" s="291">
        <v>2.2106400000000002</v>
      </c>
    </row>
    <row r="111" spans="1:24" ht="31.5">
      <c r="A111" s="283">
        <f t="shared" si="15"/>
        <v>98</v>
      </c>
      <c r="B111" s="295" t="s">
        <v>1395</v>
      </c>
      <c r="C111" s="292">
        <v>3</v>
      </c>
      <c r="D111" s="293"/>
      <c r="E111" s="287">
        <f t="shared" si="16"/>
        <v>116.96632136037522</v>
      </c>
      <c r="F111" s="280">
        <f t="shared" si="18"/>
        <v>24.966992959469181</v>
      </c>
      <c r="G111" s="288"/>
      <c r="H111" s="288"/>
      <c r="I111" s="288">
        <f t="shared" si="23"/>
        <v>9.3573057088300171</v>
      </c>
      <c r="J111" s="288"/>
      <c r="K111" s="288"/>
      <c r="L111" s="288">
        <f t="shared" si="17"/>
        <v>15.609687250639166</v>
      </c>
      <c r="M111" s="288"/>
      <c r="N111" s="289">
        <f t="shared" si="19"/>
        <v>0.21600000000000003</v>
      </c>
      <c r="O111" s="287">
        <f t="shared" si="13"/>
        <v>25.264725413841049</v>
      </c>
      <c r="P111" s="288"/>
      <c r="Q111" s="288">
        <f t="shared" si="14"/>
        <v>3.8879999999999999</v>
      </c>
      <c r="R111" s="341">
        <f t="shared" si="20"/>
        <v>0</v>
      </c>
      <c r="S111" s="287"/>
      <c r="T111" s="287"/>
      <c r="U111" s="279">
        <f t="shared" si="21"/>
        <v>171.08603973368545</v>
      </c>
      <c r="V111" s="290"/>
      <c r="W111" s="290"/>
      <c r="X111" s="291">
        <v>1.9379</v>
      </c>
    </row>
    <row r="112" spans="1:24" ht="15.75">
      <c r="A112" s="283">
        <f t="shared" si="15"/>
        <v>99</v>
      </c>
      <c r="B112" s="295" t="s">
        <v>1369</v>
      </c>
      <c r="C112" s="292">
        <v>0</v>
      </c>
      <c r="D112" s="293"/>
      <c r="E112" s="287">
        <f t="shared" si="16"/>
        <v>0</v>
      </c>
      <c r="F112" s="280">
        <f t="shared" si="18"/>
        <v>0</v>
      </c>
      <c r="G112" s="288"/>
      <c r="H112" s="288"/>
      <c r="I112" s="288">
        <f t="shared" si="23"/>
        <v>0</v>
      </c>
      <c r="J112" s="288"/>
      <c r="K112" s="288"/>
      <c r="L112" s="288">
        <f t="shared" si="17"/>
        <v>0</v>
      </c>
      <c r="M112" s="288"/>
      <c r="N112" s="289" t="e">
        <f t="shared" si="19"/>
        <v>#DIV/0!</v>
      </c>
      <c r="O112" s="287">
        <f t="shared" si="13"/>
        <v>0</v>
      </c>
      <c r="P112" s="288"/>
      <c r="Q112" s="288">
        <f t="shared" si="14"/>
        <v>0</v>
      </c>
      <c r="R112" s="341">
        <f t="shared" si="20"/>
        <v>0</v>
      </c>
      <c r="S112" s="287"/>
      <c r="T112" s="287"/>
      <c r="U112" s="279">
        <f t="shared" si="21"/>
        <v>0</v>
      </c>
      <c r="V112" s="290"/>
      <c r="W112" s="290"/>
      <c r="X112" s="291">
        <v>1.9379</v>
      </c>
    </row>
    <row r="113" spans="1:24" ht="15.75">
      <c r="A113" s="283">
        <f t="shared" si="15"/>
        <v>100</v>
      </c>
      <c r="B113" s="295" t="s">
        <v>0</v>
      </c>
      <c r="C113" s="292">
        <v>1</v>
      </c>
      <c r="D113" s="293"/>
      <c r="E113" s="287">
        <f t="shared" si="16"/>
        <v>44.476052884066917</v>
      </c>
      <c r="F113" s="280">
        <f t="shared" si="18"/>
        <v>9.4936156519808286</v>
      </c>
      <c r="G113" s="288"/>
      <c r="H113" s="288"/>
      <c r="I113" s="288">
        <f t="shared" si="23"/>
        <v>3.5580842307253535</v>
      </c>
      <c r="J113" s="288"/>
      <c r="K113" s="288"/>
      <c r="L113" s="288">
        <f t="shared" si="17"/>
        <v>5.9355314212554759</v>
      </c>
      <c r="M113" s="288"/>
      <c r="N113" s="289">
        <f t="shared" si="19"/>
        <v>0.21600000000000003</v>
      </c>
      <c r="O113" s="287">
        <f t="shared" si="13"/>
        <v>9.6068274229584549</v>
      </c>
      <c r="P113" s="288"/>
      <c r="Q113" s="288">
        <f t="shared" si="14"/>
        <v>1.296</v>
      </c>
      <c r="R113" s="341">
        <f t="shared" si="20"/>
        <v>0</v>
      </c>
      <c r="S113" s="287"/>
      <c r="T113" s="287"/>
      <c r="U113" s="279">
        <f t="shared" si="21"/>
        <v>64.872495959006201</v>
      </c>
      <c r="V113" s="290"/>
      <c r="W113" s="290"/>
      <c r="X113" s="291">
        <v>2.2106400000000002</v>
      </c>
    </row>
    <row r="114" spans="1:24" ht="31.5">
      <c r="A114" s="283">
        <f t="shared" si="15"/>
        <v>101</v>
      </c>
      <c r="B114" s="295" t="s">
        <v>1</v>
      </c>
      <c r="C114" s="292">
        <v>0</v>
      </c>
      <c r="D114" s="293"/>
      <c r="E114" s="287">
        <f t="shared" si="16"/>
        <v>0</v>
      </c>
      <c r="F114" s="280">
        <f>SUM(G114:M114)</f>
        <v>0</v>
      </c>
      <c r="G114" s="288"/>
      <c r="H114" s="288"/>
      <c r="I114" s="288">
        <f t="shared" si="23"/>
        <v>0</v>
      </c>
      <c r="J114" s="288"/>
      <c r="K114" s="288"/>
      <c r="L114" s="288">
        <f t="shared" si="17"/>
        <v>0</v>
      </c>
      <c r="M114" s="288"/>
      <c r="N114" s="289" t="e">
        <f>O114/E114</f>
        <v>#DIV/0!</v>
      </c>
      <c r="O114" s="287">
        <f t="shared" si="13"/>
        <v>0</v>
      </c>
      <c r="P114" s="288"/>
      <c r="Q114" s="288">
        <f t="shared" si="14"/>
        <v>0</v>
      </c>
      <c r="R114" s="341">
        <f>SUM(S114:T114)</f>
        <v>0</v>
      </c>
      <c r="S114" s="287"/>
      <c r="T114" s="287"/>
      <c r="U114" s="279">
        <f>E114+F114+O114+P114+Q114+R114</f>
        <v>0</v>
      </c>
      <c r="V114" s="290"/>
      <c r="W114" s="290"/>
      <c r="X114" s="291">
        <v>2.2106400000000002</v>
      </c>
    </row>
    <row r="115" spans="1:24" ht="15.75">
      <c r="A115" s="283">
        <f t="shared" si="15"/>
        <v>102</v>
      </c>
      <c r="B115" s="295" t="s">
        <v>2</v>
      </c>
      <c r="C115" s="292">
        <v>0</v>
      </c>
      <c r="D115" s="293"/>
      <c r="E115" s="287">
        <f t="shared" si="16"/>
        <v>0</v>
      </c>
      <c r="F115" s="280">
        <f>SUM(G115:M115)</f>
        <v>0</v>
      </c>
      <c r="G115" s="288"/>
      <c r="H115" s="288"/>
      <c r="I115" s="288">
        <f>E115*0.04</f>
        <v>0</v>
      </c>
      <c r="J115" s="288"/>
      <c r="K115" s="288">
        <f>E115*0.35</f>
        <v>0</v>
      </c>
      <c r="L115" s="288">
        <f t="shared" si="17"/>
        <v>0</v>
      </c>
      <c r="M115" s="288"/>
      <c r="N115" s="289" t="e">
        <f>O115/E115</f>
        <v>#DIV/0!</v>
      </c>
      <c r="O115" s="287">
        <f t="shared" si="13"/>
        <v>0</v>
      </c>
      <c r="P115" s="288"/>
      <c r="Q115" s="288">
        <f t="shared" si="14"/>
        <v>0</v>
      </c>
      <c r="R115" s="341">
        <f>SUM(S115:T115)</f>
        <v>0</v>
      </c>
      <c r="S115" s="287"/>
      <c r="T115" s="287"/>
      <c r="U115" s="279">
        <f>E115+F115+O115+P115+Q115+R115</f>
        <v>0</v>
      </c>
      <c r="V115" s="290"/>
      <c r="W115" s="290"/>
      <c r="X115" s="291">
        <v>2.2106400000000002</v>
      </c>
    </row>
    <row r="116" spans="1:24" ht="15.75">
      <c r="A116" s="283">
        <f t="shared" si="15"/>
        <v>103</v>
      </c>
      <c r="B116" s="295" t="s">
        <v>3</v>
      </c>
      <c r="C116" s="292">
        <v>0</v>
      </c>
      <c r="D116" s="293"/>
      <c r="E116" s="287">
        <f t="shared" si="16"/>
        <v>0</v>
      </c>
      <c r="F116" s="280">
        <f>SUM(G116:M116)</f>
        <v>0</v>
      </c>
      <c r="G116" s="288"/>
      <c r="H116" s="288"/>
      <c r="I116" s="288">
        <f>E116*0.04</f>
        <v>0</v>
      </c>
      <c r="J116" s="288"/>
      <c r="K116" s="288">
        <f>E116*0.35</f>
        <v>0</v>
      </c>
      <c r="L116" s="288">
        <f t="shared" si="17"/>
        <v>0</v>
      </c>
      <c r="M116" s="288"/>
      <c r="N116" s="289" t="e">
        <f>O116/E116</f>
        <v>#DIV/0!</v>
      </c>
      <c r="O116" s="287">
        <f t="shared" si="13"/>
        <v>0</v>
      </c>
      <c r="P116" s="288"/>
      <c r="Q116" s="288">
        <f t="shared" si="14"/>
        <v>0</v>
      </c>
      <c r="R116" s="341">
        <f>SUM(S116:T116)</f>
        <v>0</v>
      </c>
      <c r="S116" s="287"/>
      <c r="T116" s="287"/>
      <c r="U116" s="279">
        <f>E116+F116+O116+P116+Q116+R116</f>
        <v>0</v>
      </c>
      <c r="V116" s="290"/>
      <c r="W116" s="290"/>
      <c r="X116" s="291">
        <v>1.9379</v>
      </c>
    </row>
    <row r="117" spans="1:24" ht="15.75">
      <c r="A117" s="283">
        <f t="shared" si="15"/>
        <v>104</v>
      </c>
      <c r="B117" s="295" t="s">
        <v>4</v>
      </c>
      <c r="C117" s="292">
        <v>0</v>
      </c>
      <c r="D117" s="293"/>
      <c r="E117" s="287">
        <f t="shared" si="16"/>
        <v>0</v>
      </c>
      <c r="F117" s="280">
        <f>SUM(G117:M117)</f>
        <v>0</v>
      </c>
      <c r="G117" s="288"/>
      <c r="H117" s="288"/>
      <c r="I117" s="288">
        <f>E117*0.04</f>
        <v>0</v>
      </c>
      <c r="J117" s="288"/>
      <c r="K117" s="288">
        <f>E117*0.35</f>
        <v>0</v>
      </c>
      <c r="L117" s="288">
        <f t="shared" si="17"/>
        <v>0</v>
      </c>
      <c r="M117" s="288"/>
      <c r="N117" s="289" t="e">
        <f>O117/E117</f>
        <v>#DIV/0!</v>
      </c>
      <c r="O117" s="287">
        <f t="shared" si="13"/>
        <v>0</v>
      </c>
      <c r="P117" s="288"/>
      <c r="Q117" s="288">
        <f t="shared" si="14"/>
        <v>0</v>
      </c>
      <c r="R117" s="341">
        <f>SUM(S117:T117)</f>
        <v>0</v>
      </c>
      <c r="S117" s="287"/>
      <c r="T117" s="287"/>
      <c r="U117" s="279">
        <f>E117+F117+O117+P117+Q117+R117</f>
        <v>0</v>
      </c>
      <c r="V117" s="290"/>
      <c r="W117" s="290"/>
      <c r="X117" s="291">
        <v>1.9379</v>
      </c>
    </row>
    <row r="118" spans="1:24" ht="17.25" customHeight="1">
      <c r="A118" s="283">
        <f t="shared" si="15"/>
        <v>105</v>
      </c>
      <c r="B118" s="295" t="s">
        <v>5</v>
      </c>
      <c r="C118" s="292">
        <v>0</v>
      </c>
      <c r="D118" s="293"/>
      <c r="E118" s="287">
        <f t="shared" si="16"/>
        <v>0</v>
      </c>
      <c r="F118" s="280">
        <f>SUM(G118:M118)</f>
        <v>0</v>
      </c>
      <c r="G118" s="288"/>
      <c r="H118" s="288"/>
      <c r="I118" s="288"/>
      <c r="J118" s="288"/>
      <c r="K118" s="288"/>
      <c r="L118" s="288">
        <f t="shared" si="17"/>
        <v>0</v>
      </c>
      <c r="M118" s="288"/>
      <c r="N118" s="289" t="e">
        <f>O118/E118</f>
        <v>#DIV/0!</v>
      </c>
      <c r="O118" s="287">
        <f t="shared" si="13"/>
        <v>0</v>
      </c>
      <c r="P118" s="288"/>
      <c r="Q118" s="288">
        <f t="shared" si="14"/>
        <v>0</v>
      </c>
      <c r="R118" s="341">
        <f>SUM(S118:T118)</f>
        <v>0</v>
      </c>
      <c r="S118" s="287"/>
      <c r="T118" s="287"/>
      <c r="U118" s="279">
        <f>E118+F118+O118+P118+Q118+R118</f>
        <v>0</v>
      </c>
      <c r="V118" s="290"/>
      <c r="W118" s="290"/>
      <c r="X118" s="291">
        <v>1.5503199999999999</v>
      </c>
    </row>
    <row r="119" spans="1:24" ht="17.25" customHeight="1">
      <c r="A119" s="283">
        <f t="shared" si="15"/>
        <v>106</v>
      </c>
      <c r="B119" s="513" t="s">
        <v>6</v>
      </c>
      <c r="C119" s="292">
        <v>1</v>
      </c>
      <c r="D119" s="293"/>
      <c r="E119" s="287">
        <f t="shared" si="16"/>
        <v>78.162643150671272</v>
      </c>
      <c r="F119" s="280">
        <f t="shared" si="18"/>
        <v>10.431160013198674</v>
      </c>
      <c r="G119" s="288"/>
      <c r="H119" s="288"/>
      <c r="I119" s="288"/>
      <c r="J119" s="288"/>
      <c r="K119" s="288"/>
      <c r="L119" s="288">
        <f t="shared" si="17"/>
        <v>10.431160013198674</v>
      </c>
      <c r="M119" s="288"/>
      <c r="N119" s="289">
        <f t="shared" si="19"/>
        <v>0.2</v>
      </c>
      <c r="O119" s="287">
        <f>(E119+G119+H119+I119+J119)*0.2</f>
        <v>15.632528630134255</v>
      </c>
      <c r="P119" s="288"/>
      <c r="Q119" s="288">
        <f t="shared" si="14"/>
        <v>1.296</v>
      </c>
      <c r="R119" s="341">
        <f t="shared" si="20"/>
        <v>0</v>
      </c>
      <c r="S119" s="287"/>
      <c r="T119" s="287"/>
      <c r="U119" s="279">
        <f t="shared" si="21"/>
        <v>105.52233179400422</v>
      </c>
      <c r="V119" s="327" t="s">
        <v>439</v>
      </c>
      <c r="W119" s="290"/>
      <c r="X119" s="291">
        <v>3.8849999999999998</v>
      </c>
    </row>
    <row r="120" spans="1:24" ht="15.75">
      <c r="A120" s="283">
        <f t="shared" si="15"/>
        <v>107</v>
      </c>
      <c r="B120" s="284" t="s">
        <v>7</v>
      </c>
      <c r="C120" s="292">
        <v>1</v>
      </c>
      <c r="D120" s="293"/>
      <c r="E120" s="287">
        <f t="shared" si="16"/>
        <v>61.966780155487143</v>
      </c>
      <c r="F120" s="280">
        <f t="shared" si="18"/>
        <v>8.2697484789322839</v>
      </c>
      <c r="G120" s="288"/>
      <c r="H120" s="288"/>
      <c r="I120" s="288"/>
      <c r="J120" s="288"/>
      <c r="K120" s="288"/>
      <c r="L120" s="288">
        <f t="shared" si="17"/>
        <v>8.2697484789322839</v>
      </c>
      <c r="M120" s="288"/>
      <c r="N120" s="289">
        <f t="shared" si="19"/>
        <v>0.2</v>
      </c>
      <c r="O120" s="287">
        <f>(E120+G120+H120+I120+J120)*0.2</f>
        <v>12.393356031097429</v>
      </c>
      <c r="P120" s="288"/>
      <c r="Q120" s="288">
        <f t="shared" si="14"/>
        <v>1.296</v>
      </c>
      <c r="R120" s="341">
        <f t="shared" si="20"/>
        <v>0</v>
      </c>
      <c r="S120" s="287"/>
      <c r="T120" s="287"/>
      <c r="U120" s="279">
        <f t="shared" si="21"/>
        <v>83.925884665516861</v>
      </c>
      <c r="V120" s="328" t="s">
        <v>440</v>
      </c>
      <c r="W120" s="290"/>
      <c r="X120" s="291">
        <v>3.08</v>
      </c>
    </row>
    <row r="121" spans="1:24" ht="31.5">
      <c r="A121" s="283">
        <f t="shared" si="15"/>
        <v>108</v>
      </c>
      <c r="B121" s="295" t="s">
        <v>8</v>
      </c>
      <c r="C121" s="292">
        <v>1</v>
      </c>
      <c r="D121" s="293"/>
      <c r="E121" s="287">
        <f t="shared" si="16"/>
        <v>51.98489758849253</v>
      </c>
      <c r="F121" s="280">
        <f t="shared" si="18"/>
        <v>6.9376208781733659</v>
      </c>
      <c r="G121" s="288"/>
      <c r="H121" s="288"/>
      <c r="I121" s="288"/>
      <c r="J121" s="288"/>
      <c r="K121" s="288"/>
      <c r="L121" s="288">
        <f t="shared" si="17"/>
        <v>6.9376208781733659</v>
      </c>
      <c r="M121" s="288"/>
      <c r="N121" s="289">
        <f t="shared" si="19"/>
        <v>0.15</v>
      </c>
      <c r="O121" s="287">
        <f>(E121+G121+H121+I121+J121)*0.15</f>
        <v>7.7977346382738792</v>
      </c>
      <c r="P121" s="288"/>
      <c r="Q121" s="288">
        <f t="shared" si="14"/>
        <v>1.296</v>
      </c>
      <c r="R121" s="341">
        <f t="shared" si="20"/>
        <v>0</v>
      </c>
      <c r="S121" s="287"/>
      <c r="T121" s="287"/>
      <c r="U121" s="279">
        <f t="shared" si="21"/>
        <v>68.016253104939778</v>
      </c>
      <c r="V121" s="331"/>
      <c r="W121" s="290"/>
      <c r="X121" s="291">
        <v>2.58386</v>
      </c>
    </row>
    <row r="122" spans="1:24" ht="15.75">
      <c r="A122" s="283">
        <f t="shared" si="15"/>
        <v>109</v>
      </c>
      <c r="B122" s="284" t="s">
        <v>9</v>
      </c>
      <c r="C122" s="292">
        <v>1</v>
      </c>
      <c r="D122" s="293"/>
      <c r="E122" s="287">
        <f t="shared" si="16"/>
        <v>68.505482606959006</v>
      </c>
      <c r="F122" s="280">
        <f t="shared" si="18"/>
        <v>9.142368042455983</v>
      </c>
      <c r="G122" s="288"/>
      <c r="H122" s="288"/>
      <c r="I122" s="288"/>
      <c r="J122" s="288"/>
      <c r="K122" s="288"/>
      <c r="L122" s="288">
        <f t="shared" si="17"/>
        <v>9.142368042455983</v>
      </c>
      <c r="M122" s="288"/>
      <c r="N122" s="289">
        <f t="shared" si="19"/>
        <v>0.2</v>
      </c>
      <c r="O122" s="287">
        <f>(E122+G122+H122+I122+J122)*0.2</f>
        <v>13.701096521391802</v>
      </c>
      <c r="P122" s="288"/>
      <c r="Q122" s="288">
        <f t="shared" si="14"/>
        <v>1.296</v>
      </c>
      <c r="R122" s="341">
        <f t="shared" si="20"/>
        <v>0</v>
      </c>
      <c r="S122" s="287"/>
      <c r="T122" s="287"/>
      <c r="U122" s="279">
        <f t="shared" si="21"/>
        <v>92.644947170806802</v>
      </c>
      <c r="V122" s="328" t="s">
        <v>440</v>
      </c>
      <c r="W122" s="290"/>
      <c r="X122" s="291">
        <v>3.4049999999999998</v>
      </c>
    </row>
    <row r="123" spans="1:24" ht="31.35" customHeight="1">
      <c r="A123" s="283">
        <f t="shared" si="15"/>
        <v>110</v>
      </c>
      <c r="B123" s="284" t="s">
        <v>10</v>
      </c>
      <c r="C123" s="292">
        <v>1</v>
      </c>
      <c r="D123" s="293"/>
      <c r="E123" s="287">
        <f t="shared" si="16"/>
        <v>68.505482606959006</v>
      </c>
      <c r="F123" s="280">
        <f t="shared" si="18"/>
        <v>9.142368042455983</v>
      </c>
      <c r="G123" s="288"/>
      <c r="H123" s="288"/>
      <c r="I123" s="288"/>
      <c r="J123" s="288"/>
      <c r="K123" s="288"/>
      <c r="L123" s="288">
        <f t="shared" si="17"/>
        <v>9.142368042455983</v>
      </c>
      <c r="M123" s="288"/>
      <c r="N123" s="289">
        <f t="shared" si="19"/>
        <v>0.2</v>
      </c>
      <c r="O123" s="287">
        <f>(E123+G123+H123+I123+J123)*0.2</f>
        <v>13.701096521391802</v>
      </c>
      <c r="P123" s="288"/>
      <c r="Q123" s="288">
        <f t="shared" si="14"/>
        <v>1.296</v>
      </c>
      <c r="R123" s="341">
        <f t="shared" si="20"/>
        <v>0</v>
      </c>
      <c r="S123" s="287"/>
      <c r="T123" s="287"/>
      <c r="U123" s="279">
        <f t="shared" si="21"/>
        <v>92.644947170806802</v>
      </c>
      <c r="V123" s="328" t="s">
        <v>440</v>
      </c>
      <c r="W123" s="290"/>
      <c r="X123" s="291">
        <v>3.4049999999999998</v>
      </c>
    </row>
    <row r="124" spans="1:24" ht="31.5">
      <c r="A124" s="283">
        <f t="shared" si="15"/>
        <v>111</v>
      </c>
      <c r="B124" s="284" t="s">
        <v>11</v>
      </c>
      <c r="C124" s="292">
        <v>1</v>
      </c>
      <c r="D124" s="293"/>
      <c r="E124" s="287">
        <f t="shared" si="16"/>
        <v>61.966780155487143</v>
      </c>
      <c r="F124" s="280">
        <f t="shared" si="18"/>
        <v>8.2697484789322839</v>
      </c>
      <c r="G124" s="288"/>
      <c r="H124" s="288"/>
      <c r="I124" s="288"/>
      <c r="J124" s="288"/>
      <c r="K124" s="288"/>
      <c r="L124" s="288">
        <f t="shared" si="17"/>
        <v>8.2697484789322839</v>
      </c>
      <c r="M124" s="288"/>
      <c r="N124" s="289">
        <f t="shared" si="19"/>
        <v>0.2</v>
      </c>
      <c r="O124" s="287">
        <f>(E124+G124+H124+I124+J124)*0.2</f>
        <v>12.393356031097429</v>
      </c>
      <c r="P124" s="288"/>
      <c r="Q124" s="288">
        <f t="shared" si="14"/>
        <v>1.296</v>
      </c>
      <c r="R124" s="341">
        <f t="shared" si="20"/>
        <v>0</v>
      </c>
      <c r="S124" s="287"/>
      <c r="T124" s="287"/>
      <c r="U124" s="279">
        <f t="shared" si="21"/>
        <v>83.925884665516861</v>
      </c>
      <c r="V124" s="328" t="s">
        <v>440</v>
      </c>
      <c r="W124" s="290"/>
      <c r="X124" s="291">
        <v>3.08</v>
      </c>
    </row>
    <row r="125" spans="1:24" ht="15.75">
      <c r="A125" s="283">
        <f t="shared" si="15"/>
        <v>112</v>
      </c>
      <c r="B125" s="295" t="s">
        <v>12</v>
      </c>
      <c r="C125" s="297">
        <v>0</v>
      </c>
      <c r="D125" s="293"/>
      <c r="E125" s="287">
        <f t="shared" si="16"/>
        <v>0</v>
      </c>
      <c r="F125" s="280">
        <f t="shared" si="18"/>
        <v>0</v>
      </c>
      <c r="G125" s="288"/>
      <c r="H125" s="288"/>
      <c r="I125" s="288"/>
      <c r="J125" s="288"/>
      <c r="K125" s="288"/>
      <c r="L125" s="288">
        <f t="shared" si="17"/>
        <v>0</v>
      </c>
      <c r="M125" s="288"/>
      <c r="N125" s="289" t="e">
        <f t="shared" si="19"/>
        <v>#DIV/0!</v>
      </c>
      <c r="O125" s="287">
        <f>(E125+G125+H125+I125+J125)*0.15</f>
        <v>0</v>
      </c>
      <c r="P125" s="288"/>
      <c r="Q125" s="288">
        <f t="shared" si="14"/>
        <v>0</v>
      </c>
      <c r="R125" s="341">
        <f t="shared" si="20"/>
        <v>0</v>
      </c>
      <c r="S125" s="287"/>
      <c r="T125" s="287"/>
      <c r="U125" s="279">
        <f t="shared" si="21"/>
        <v>0</v>
      </c>
      <c r="V125" s="290"/>
      <c r="W125" s="290"/>
      <c r="X125" s="291">
        <v>2.58386</v>
      </c>
    </row>
    <row r="126" spans="1:24" ht="15.75">
      <c r="A126" s="283">
        <f t="shared" si="15"/>
        <v>113</v>
      </c>
      <c r="B126" s="295" t="s">
        <v>13</v>
      </c>
      <c r="C126" s="297">
        <v>1</v>
      </c>
      <c r="D126" s="293"/>
      <c r="E126" s="287">
        <f t="shared" si="16"/>
        <v>38.988773786791725</v>
      </c>
      <c r="F126" s="280">
        <f t="shared" si="18"/>
        <v>5.203229083546387</v>
      </c>
      <c r="G126" s="288"/>
      <c r="H126" s="288"/>
      <c r="I126" s="288"/>
      <c r="J126" s="288"/>
      <c r="K126" s="288"/>
      <c r="L126" s="288">
        <f t="shared" si="17"/>
        <v>5.203229083546387</v>
      </c>
      <c r="M126" s="288"/>
      <c r="N126" s="289">
        <f t="shared" si="19"/>
        <v>0.2</v>
      </c>
      <c r="O126" s="287">
        <f>(E126+G126+H126+I126+J126)*0.2</f>
        <v>7.7977547573583452</v>
      </c>
      <c r="P126" s="288"/>
      <c r="Q126" s="288">
        <f t="shared" si="14"/>
        <v>1.296</v>
      </c>
      <c r="R126" s="341">
        <f t="shared" si="20"/>
        <v>0</v>
      </c>
      <c r="S126" s="287"/>
      <c r="T126" s="287"/>
      <c r="U126" s="279">
        <f t="shared" si="21"/>
        <v>53.285757627696462</v>
      </c>
      <c r="V126" s="290"/>
      <c r="W126" s="290"/>
      <c r="X126" s="291">
        <v>1.9379</v>
      </c>
    </row>
    <row r="127" spans="1:24" ht="33.6" customHeight="1">
      <c r="A127" s="283">
        <f t="shared" si="15"/>
        <v>114</v>
      </c>
      <c r="B127" s="295" t="s">
        <v>14</v>
      </c>
      <c r="C127" s="297">
        <v>9</v>
      </c>
      <c r="D127" s="293"/>
      <c r="E127" s="287">
        <f t="shared" si="16"/>
        <v>311.91059267602316</v>
      </c>
      <c r="F127" s="280">
        <f t="shared" si="18"/>
        <v>86.473739933036384</v>
      </c>
      <c r="G127" s="288">
        <f>E127/2003*60*12*0.4</f>
        <v>44.847853564999838</v>
      </c>
      <c r="H127" s="288"/>
      <c r="I127" s="288"/>
      <c r="J127" s="288"/>
      <c r="K127" s="288"/>
      <c r="L127" s="288">
        <f t="shared" si="17"/>
        <v>41.625886368036547</v>
      </c>
      <c r="M127" s="288"/>
      <c r="N127" s="289">
        <f t="shared" si="19"/>
        <v>0.22875686470294557</v>
      </c>
      <c r="O127" s="287">
        <f>(E127+G127+H127+I127+J127)*0.2</f>
        <v>71.351689248204593</v>
      </c>
      <c r="P127" s="288"/>
      <c r="Q127" s="288">
        <f t="shared" si="14"/>
        <v>11.664</v>
      </c>
      <c r="R127" s="341">
        <f t="shared" si="20"/>
        <v>0</v>
      </c>
      <c r="S127" s="287"/>
      <c r="T127" s="287"/>
      <c r="U127" s="279">
        <f t="shared" si="21"/>
        <v>481.40002185726411</v>
      </c>
      <c r="V127" s="290"/>
      <c r="W127" s="290"/>
      <c r="X127" s="291">
        <v>1.72258</v>
      </c>
    </row>
    <row r="128" spans="1:24" ht="17.25" customHeight="1">
      <c r="A128" s="283">
        <f t="shared" si="15"/>
        <v>115</v>
      </c>
      <c r="B128" s="295" t="s">
        <v>15</v>
      </c>
      <c r="C128" s="297">
        <v>1</v>
      </c>
      <c r="D128" s="293"/>
      <c r="E128" s="287">
        <f t="shared" si="16"/>
        <v>31.191019029433377</v>
      </c>
      <c r="F128" s="280">
        <f t="shared" si="18"/>
        <v>4.1625832668371086</v>
      </c>
      <c r="G128" s="288"/>
      <c r="H128" s="288"/>
      <c r="I128" s="288"/>
      <c r="J128" s="288"/>
      <c r="K128" s="288"/>
      <c r="L128" s="288">
        <f t="shared" si="17"/>
        <v>4.1625832668371086</v>
      </c>
      <c r="M128" s="288"/>
      <c r="N128" s="289">
        <f t="shared" si="19"/>
        <v>0.2</v>
      </c>
      <c r="O128" s="287">
        <f>(E128+G128+H128+I128+J128)*0.2</f>
        <v>6.238203805886676</v>
      </c>
      <c r="P128" s="288"/>
      <c r="Q128" s="288">
        <f t="shared" si="14"/>
        <v>1.296</v>
      </c>
      <c r="R128" s="341">
        <f t="shared" si="20"/>
        <v>0</v>
      </c>
      <c r="S128" s="287"/>
      <c r="T128" s="287"/>
      <c r="U128" s="279">
        <f t="shared" si="21"/>
        <v>42.887806102157164</v>
      </c>
      <c r="V128" s="290"/>
      <c r="W128" s="290"/>
      <c r="X128" s="291">
        <v>1.5503199999999999</v>
      </c>
    </row>
    <row r="129" spans="1:24" ht="15.75">
      <c r="A129" s="283">
        <f t="shared" si="15"/>
        <v>116</v>
      </c>
      <c r="B129" s="284" t="s">
        <v>16</v>
      </c>
      <c r="C129" s="292">
        <v>1</v>
      </c>
      <c r="D129" s="293"/>
      <c r="E129" s="287">
        <f t="shared" si="16"/>
        <v>61.966780155487143</v>
      </c>
      <c r="F129" s="280">
        <f t="shared" si="18"/>
        <v>8.2697484789322839</v>
      </c>
      <c r="G129" s="288"/>
      <c r="H129" s="288"/>
      <c r="I129" s="288"/>
      <c r="J129" s="288"/>
      <c r="K129" s="288"/>
      <c r="L129" s="288">
        <f t="shared" si="17"/>
        <v>8.2697484789322839</v>
      </c>
      <c r="M129" s="288"/>
      <c r="N129" s="289">
        <f t="shared" si="19"/>
        <v>0.2</v>
      </c>
      <c r="O129" s="287">
        <f>(E129+G129+H129+I129+J129)*0.2</f>
        <v>12.393356031097429</v>
      </c>
      <c r="P129" s="288"/>
      <c r="Q129" s="288">
        <f t="shared" si="14"/>
        <v>1.296</v>
      </c>
      <c r="R129" s="341">
        <f t="shared" si="20"/>
        <v>0</v>
      </c>
      <c r="S129" s="287"/>
      <c r="T129" s="287"/>
      <c r="U129" s="279">
        <f t="shared" si="21"/>
        <v>83.925884665516861</v>
      </c>
      <c r="V129" s="328" t="s">
        <v>440</v>
      </c>
      <c r="W129" s="290"/>
      <c r="X129" s="291">
        <v>3.08</v>
      </c>
    </row>
    <row r="130" spans="1:24" ht="15.75">
      <c r="A130" s="283">
        <f t="shared" si="15"/>
        <v>117</v>
      </c>
      <c r="B130" s="284" t="s">
        <v>17</v>
      </c>
      <c r="C130" s="292">
        <v>1</v>
      </c>
      <c r="D130" s="293"/>
      <c r="E130" s="287">
        <f t="shared" si="16"/>
        <v>55.528673126345623</v>
      </c>
      <c r="F130" s="280">
        <f t="shared" si="18"/>
        <v>7.4105538317704882</v>
      </c>
      <c r="G130" s="288"/>
      <c r="H130" s="288"/>
      <c r="I130" s="288"/>
      <c r="J130" s="288"/>
      <c r="K130" s="288"/>
      <c r="L130" s="288">
        <f t="shared" si="17"/>
        <v>7.4105538317704882</v>
      </c>
      <c r="M130" s="288"/>
      <c r="N130" s="289">
        <f t="shared" si="19"/>
        <v>0.2</v>
      </c>
      <c r="O130" s="287">
        <f>(E130+G130+H130+I130+J130)*0.2</f>
        <v>11.105734625269125</v>
      </c>
      <c r="P130" s="288"/>
      <c r="Q130" s="288">
        <f t="shared" si="14"/>
        <v>1.296</v>
      </c>
      <c r="R130" s="341">
        <f t="shared" si="20"/>
        <v>0</v>
      </c>
      <c r="S130" s="287"/>
      <c r="T130" s="287"/>
      <c r="U130" s="279">
        <f t="shared" si="21"/>
        <v>75.340961583385237</v>
      </c>
      <c r="V130" s="328" t="s">
        <v>440</v>
      </c>
      <c r="W130" s="290"/>
      <c r="X130" s="291">
        <v>2.76</v>
      </c>
    </row>
    <row r="131" spans="1:24" ht="15.75">
      <c r="A131" s="283">
        <f t="shared" si="15"/>
        <v>118</v>
      </c>
      <c r="B131" s="295" t="s">
        <v>18</v>
      </c>
      <c r="C131" s="298">
        <v>0</v>
      </c>
      <c r="D131" s="293"/>
      <c r="E131" s="287">
        <f t="shared" si="16"/>
        <v>0</v>
      </c>
      <c r="F131" s="280">
        <f t="shared" si="18"/>
        <v>0</v>
      </c>
      <c r="G131" s="288"/>
      <c r="H131" s="288"/>
      <c r="I131" s="288"/>
      <c r="J131" s="288"/>
      <c r="K131" s="288"/>
      <c r="L131" s="288">
        <f t="shared" si="17"/>
        <v>0</v>
      </c>
      <c r="M131" s="288"/>
      <c r="N131" s="289" t="e">
        <f t="shared" si="19"/>
        <v>#DIV/0!</v>
      </c>
      <c r="O131" s="287">
        <f>(E131+G131+H131+I131+J131)*0.15</f>
        <v>0</v>
      </c>
      <c r="P131" s="288"/>
      <c r="Q131" s="288">
        <f t="shared" si="14"/>
        <v>0</v>
      </c>
      <c r="R131" s="341">
        <f t="shared" si="20"/>
        <v>0</v>
      </c>
      <c r="S131" s="287"/>
      <c r="T131" s="287"/>
      <c r="U131" s="279">
        <f t="shared" si="21"/>
        <v>0</v>
      </c>
      <c r="V131" s="290"/>
      <c r="W131" s="290"/>
      <c r="X131" s="291">
        <v>2.2106400000000002</v>
      </c>
    </row>
    <row r="132" spans="1:24" ht="15.75">
      <c r="A132" s="283">
        <f t="shared" si="15"/>
        <v>119</v>
      </c>
      <c r="B132" s="295" t="s">
        <v>19</v>
      </c>
      <c r="C132" s="298">
        <v>1</v>
      </c>
      <c r="D132" s="293"/>
      <c r="E132" s="287">
        <f t="shared" si="16"/>
        <v>44.476052884066917</v>
      </c>
      <c r="F132" s="280">
        <f t="shared" si="18"/>
        <v>5.9355314212554759</v>
      </c>
      <c r="G132" s="288"/>
      <c r="H132" s="288"/>
      <c r="I132" s="288"/>
      <c r="J132" s="288"/>
      <c r="K132" s="288"/>
      <c r="L132" s="288">
        <f t="shared" si="17"/>
        <v>5.9355314212554759</v>
      </c>
      <c r="M132" s="288"/>
      <c r="N132" s="289">
        <f t="shared" si="19"/>
        <v>0.15</v>
      </c>
      <c r="O132" s="287">
        <f>(E132+G132+H132+I132+J132)*0.15</f>
        <v>6.6714079326100375</v>
      </c>
      <c r="P132" s="288"/>
      <c r="Q132" s="288">
        <f t="shared" si="14"/>
        <v>1.296</v>
      </c>
      <c r="R132" s="341">
        <f t="shared" si="20"/>
        <v>0</v>
      </c>
      <c r="S132" s="287"/>
      <c r="T132" s="287"/>
      <c r="U132" s="279">
        <f t="shared" si="21"/>
        <v>58.37899223793243</v>
      </c>
      <c r="V132" s="290"/>
      <c r="W132" s="290"/>
      <c r="X132" s="291">
        <v>2.2106400000000002</v>
      </c>
    </row>
    <row r="133" spans="1:24" ht="17.25" customHeight="1">
      <c r="A133" s="283">
        <f t="shared" si="15"/>
        <v>120</v>
      </c>
      <c r="B133" s="295" t="s">
        <v>15</v>
      </c>
      <c r="C133" s="298">
        <v>1</v>
      </c>
      <c r="D133" s="293"/>
      <c r="E133" s="287">
        <f t="shared" si="16"/>
        <v>31.191019029433377</v>
      </c>
      <c r="F133" s="280">
        <f t="shared" si="18"/>
        <v>4.1625832668371086</v>
      </c>
      <c r="G133" s="288"/>
      <c r="H133" s="288"/>
      <c r="I133" s="288"/>
      <c r="J133" s="288"/>
      <c r="K133" s="288"/>
      <c r="L133" s="288">
        <f t="shared" si="17"/>
        <v>4.1625832668371086</v>
      </c>
      <c r="M133" s="288"/>
      <c r="N133" s="289">
        <f t="shared" si="19"/>
        <v>0.15</v>
      </c>
      <c r="O133" s="287">
        <f>(E133+G133+H133+I133+J133)*0.15</f>
        <v>4.6786528544150068</v>
      </c>
      <c r="P133" s="288"/>
      <c r="Q133" s="288">
        <f t="shared" si="14"/>
        <v>1.296</v>
      </c>
      <c r="R133" s="341">
        <f t="shared" si="20"/>
        <v>0</v>
      </c>
      <c r="S133" s="287"/>
      <c r="T133" s="287"/>
      <c r="U133" s="279">
        <f t="shared" si="21"/>
        <v>41.328255150685493</v>
      </c>
      <c r="V133" s="290"/>
      <c r="W133" s="290"/>
      <c r="X133" s="291">
        <v>1.5503199999999999</v>
      </c>
    </row>
    <row r="134" spans="1:24" ht="15.75">
      <c r="A134" s="283">
        <f t="shared" si="15"/>
        <v>121</v>
      </c>
      <c r="B134" s="295" t="s">
        <v>20</v>
      </c>
      <c r="C134" s="292">
        <v>1</v>
      </c>
      <c r="D134" s="293"/>
      <c r="E134" s="287">
        <f t="shared" si="16"/>
        <v>31.191019029433377</v>
      </c>
      <c r="F134" s="280">
        <f>SUM(G134:M134)</f>
        <v>4.1625832668371086</v>
      </c>
      <c r="G134" s="288"/>
      <c r="H134" s="288"/>
      <c r="I134" s="288"/>
      <c r="J134" s="288"/>
      <c r="K134" s="288"/>
      <c r="L134" s="288">
        <f t="shared" si="17"/>
        <v>4.1625832668371086</v>
      </c>
      <c r="M134" s="288"/>
      <c r="N134" s="289">
        <f>O134/E134</f>
        <v>0.15</v>
      </c>
      <c r="O134" s="287">
        <f>(E134+G134+H134+I134+J134)*0.15</f>
        <v>4.6786528544150068</v>
      </c>
      <c r="P134" s="288"/>
      <c r="Q134" s="288">
        <f t="shared" si="14"/>
        <v>1.296</v>
      </c>
      <c r="R134" s="341">
        <f>SUM(S134:T134)</f>
        <v>0</v>
      </c>
      <c r="S134" s="287"/>
      <c r="T134" s="287"/>
      <c r="U134" s="279">
        <f>E134+F134+O134+P134+Q134+R134</f>
        <v>41.328255150685493</v>
      </c>
      <c r="V134" s="290"/>
      <c r="W134" s="290"/>
      <c r="X134" s="291">
        <v>1.5503199999999999</v>
      </c>
    </row>
    <row r="135" spans="1:24" ht="15.75">
      <c r="A135" s="283">
        <f t="shared" si="15"/>
        <v>122</v>
      </c>
      <c r="B135" s="284" t="s">
        <v>21</v>
      </c>
      <c r="C135" s="292">
        <v>1</v>
      </c>
      <c r="D135" s="293"/>
      <c r="E135" s="287">
        <f t="shared" si="16"/>
        <v>61.966780155487143</v>
      </c>
      <c r="F135" s="280">
        <f t="shared" si="18"/>
        <v>8.2697484789322839</v>
      </c>
      <c r="G135" s="288"/>
      <c r="H135" s="288"/>
      <c r="I135" s="288"/>
      <c r="J135" s="288"/>
      <c r="K135" s="288"/>
      <c r="L135" s="288">
        <f t="shared" si="17"/>
        <v>8.2697484789322839</v>
      </c>
      <c r="M135" s="288"/>
      <c r="N135" s="289">
        <f t="shared" si="19"/>
        <v>0.15</v>
      </c>
      <c r="O135" s="287">
        <f>(E135+G135+H135+I135+J135)*0.15</f>
        <v>9.2950170233230711</v>
      </c>
      <c r="P135" s="288"/>
      <c r="Q135" s="288">
        <f t="shared" si="14"/>
        <v>1.296</v>
      </c>
      <c r="R135" s="341">
        <f t="shared" si="20"/>
        <v>0</v>
      </c>
      <c r="S135" s="287"/>
      <c r="T135" s="287"/>
      <c r="U135" s="279">
        <f t="shared" si="21"/>
        <v>80.827545657742505</v>
      </c>
      <c r="V135" s="328" t="s">
        <v>440</v>
      </c>
      <c r="W135" s="290"/>
      <c r="X135" s="291">
        <v>3.08</v>
      </c>
    </row>
    <row r="136" spans="1:24" ht="31.5">
      <c r="A136" s="283">
        <f t="shared" si="15"/>
        <v>123</v>
      </c>
      <c r="B136" s="513" t="s">
        <v>22</v>
      </c>
      <c r="C136" s="292">
        <v>1</v>
      </c>
      <c r="D136" s="293"/>
      <c r="E136" s="287">
        <f t="shared" si="16"/>
        <v>78.162643150671272</v>
      </c>
      <c r="F136" s="280">
        <f t="shared" si="18"/>
        <v>10.431160013198674</v>
      </c>
      <c r="G136" s="288"/>
      <c r="H136" s="288"/>
      <c r="I136" s="288"/>
      <c r="J136" s="288"/>
      <c r="K136" s="288"/>
      <c r="L136" s="288">
        <f t="shared" si="17"/>
        <v>10.431160013198674</v>
      </c>
      <c r="M136" s="288"/>
      <c r="N136" s="289">
        <f t="shared" si="19"/>
        <v>0.3</v>
      </c>
      <c r="O136" s="287">
        <f>(E136+G136+H136+I136+J136)*0.3</f>
        <v>23.448792945201379</v>
      </c>
      <c r="P136" s="288"/>
      <c r="Q136" s="288">
        <f t="shared" si="14"/>
        <v>1.296</v>
      </c>
      <c r="R136" s="341">
        <f t="shared" si="20"/>
        <v>0</v>
      </c>
      <c r="S136" s="287"/>
      <c r="T136" s="287"/>
      <c r="U136" s="279">
        <f t="shared" si="21"/>
        <v>113.33859610907133</v>
      </c>
      <c r="V136" s="327" t="s">
        <v>439</v>
      </c>
      <c r="W136" s="290"/>
      <c r="X136" s="291">
        <v>3.8849999999999998</v>
      </c>
    </row>
    <row r="137" spans="1:24" ht="15.75">
      <c r="A137" s="283">
        <f t="shared" si="15"/>
        <v>124</v>
      </c>
      <c r="B137" s="284" t="s">
        <v>1326</v>
      </c>
      <c r="C137" s="292">
        <v>1</v>
      </c>
      <c r="D137" s="293"/>
      <c r="E137" s="287">
        <f t="shared" si="16"/>
        <v>55.528673126345623</v>
      </c>
      <c r="F137" s="280">
        <f t="shared" si="18"/>
        <v>7.4105538317704882</v>
      </c>
      <c r="G137" s="288"/>
      <c r="H137" s="288"/>
      <c r="I137" s="288"/>
      <c r="J137" s="288"/>
      <c r="K137" s="288"/>
      <c r="L137" s="288">
        <f t="shared" si="17"/>
        <v>7.4105538317704882</v>
      </c>
      <c r="M137" s="288"/>
      <c r="N137" s="289">
        <f>O137/E137</f>
        <v>0.3</v>
      </c>
      <c r="O137" s="287">
        <f>(E137+G137+H137+I137+J137)*0.3</f>
        <v>16.658601937903686</v>
      </c>
      <c r="P137" s="288"/>
      <c r="Q137" s="288">
        <f t="shared" si="14"/>
        <v>1.296</v>
      </c>
      <c r="R137" s="341">
        <f t="shared" si="20"/>
        <v>0</v>
      </c>
      <c r="S137" s="287"/>
      <c r="T137" s="287"/>
      <c r="U137" s="279">
        <f t="shared" si="21"/>
        <v>80.893828896019798</v>
      </c>
      <c r="V137" s="328" t="s">
        <v>440</v>
      </c>
      <c r="W137" s="290"/>
      <c r="X137" s="291">
        <v>2.76</v>
      </c>
    </row>
    <row r="138" spans="1:24" ht="15.75">
      <c r="A138" s="283">
        <f t="shared" si="15"/>
        <v>125</v>
      </c>
      <c r="B138" s="284" t="s">
        <v>23</v>
      </c>
      <c r="C138" s="299">
        <v>1</v>
      </c>
      <c r="D138" s="293"/>
      <c r="E138" s="287">
        <f t="shared" si="16"/>
        <v>27.080287691326529</v>
      </c>
      <c r="F138" s="280">
        <f t="shared" si="18"/>
        <v>6.3220162537569573</v>
      </c>
      <c r="G138" s="288"/>
      <c r="H138" s="288"/>
      <c r="I138" s="288"/>
      <c r="J138" s="288"/>
      <c r="K138" s="288"/>
      <c r="L138" s="288">
        <f t="shared" si="17"/>
        <v>3.6139874846243041</v>
      </c>
      <c r="M138" s="288">
        <f>E138*0.1</f>
        <v>2.7080287691326532</v>
      </c>
      <c r="N138" s="289">
        <f>O138/E138</f>
        <v>0.7</v>
      </c>
      <c r="O138" s="287">
        <f>(E138+G138+H138+I138+J138)*0.7</f>
        <v>18.956201383928569</v>
      </c>
      <c r="P138" s="288"/>
      <c r="Q138" s="288">
        <f t="shared" si="14"/>
        <v>1.296</v>
      </c>
      <c r="R138" s="341">
        <f t="shared" si="20"/>
        <v>0</v>
      </c>
      <c r="S138" s="287"/>
      <c r="T138" s="287"/>
      <c r="U138" s="279">
        <f t="shared" si="21"/>
        <v>53.654505329012061</v>
      </c>
      <c r="V138" s="329" t="s">
        <v>441</v>
      </c>
      <c r="W138" s="290"/>
      <c r="X138" s="291">
        <v>1.3460000000000001</v>
      </c>
    </row>
    <row r="139" spans="1:24" ht="15.75">
      <c r="A139" s="283">
        <f t="shared" si="15"/>
        <v>126</v>
      </c>
      <c r="B139" s="284" t="s">
        <v>24</v>
      </c>
      <c r="C139" s="292">
        <v>6</v>
      </c>
      <c r="D139" s="293"/>
      <c r="E139" s="287">
        <f t="shared" si="16"/>
        <v>389.90785695238338</v>
      </c>
      <c r="F139" s="280">
        <f t="shared" si="18"/>
        <v>67.631290096831592</v>
      </c>
      <c r="G139" s="288"/>
      <c r="H139" s="288"/>
      <c r="I139" s="288">
        <f>E139*0.04</f>
        <v>15.596314278095337</v>
      </c>
      <c r="J139" s="288"/>
      <c r="K139" s="288"/>
      <c r="L139" s="288">
        <f t="shared" si="17"/>
        <v>52.034975818736257</v>
      </c>
      <c r="M139" s="288"/>
      <c r="N139" s="289">
        <f t="shared" si="19"/>
        <v>0.57200000000000006</v>
      </c>
      <c r="O139" s="287">
        <f>(E139+G139+H139+I139+J139)*0.55</f>
        <v>223.02729417676332</v>
      </c>
      <c r="P139" s="288"/>
      <c r="Q139" s="288">
        <f t="shared" si="14"/>
        <v>7.7759999999999998</v>
      </c>
      <c r="R139" s="341">
        <f t="shared" si="20"/>
        <v>0</v>
      </c>
      <c r="S139" s="287"/>
      <c r="T139" s="287"/>
      <c r="U139" s="279">
        <f t="shared" si="21"/>
        <v>688.34244122597829</v>
      </c>
      <c r="V139" s="327" t="s">
        <v>439</v>
      </c>
      <c r="W139" s="290"/>
      <c r="X139" s="291">
        <v>3.23</v>
      </c>
    </row>
    <row r="140" spans="1:24" ht="31.5">
      <c r="A140" s="283">
        <f t="shared" si="15"/>
        <v>127</v>
      </c>
      <c r="B140" s="295" t="s">
        <v>25</v>
      </c>
      <c r="C140" s="292">
        <v>4</v>
      </c>
      <c r="D140" s="293"/>
      <c r="E140" s="287">
        <f t="shared" si="16"/>
        <v>177.90421153626767</v>
      </c>
      <c r="F140" s="280">
        <f t="shared" si="18"/>
        <v>71.331502270973502</v>
      </c>
      <c r="G140" s="288"/>
      <c r="H140" s="288"/>
      <c r="I140" s="288">
        <f>E140*0.08</f>
        <v>14.232336922901414</v>
      </c>
      <c r="J140" s="288"/>
      <c r="K140" s="288">
        <f>E140/C140*0.25*3</f>
        <v>33.357039663050188</v>
      </c>
      <c r="L140" s="288">
        <f t="shared" si="17"/>
        <v>23.742125685021904</v>
      </c>
      <c r="M140" s="288"/>
      <c r="N140" s="289">
        <f t="shared" si="19"/>
        <v>0.16200000000000001</v>
      </c>
      <c r="O140" s="287">
        <f>(E140+G140+H140+I140+J140)*0.15</f>
        <v>28.820482268875363</v>
      </c>
      <c r="P140" s="288"/>
      <c r="Q140" s="288">
        <f t="shared" si="14"/>
        <v>5.1840000000000002</v>
      </c>
      <c r="R140" s="341">
        <f t="shared" si="20"/>
        <v>0</v>
      </c>
      <c r="S140" s="287"/>
      <c r="T140" s="287"/>
      <c r="U140" s="279">
        <f t="shared" si="21"/>
        <v>283.24019607611655</v>
      </c>
      <c r="V140" s="290"/>
      <c r="W140" s="290"/>
      <c r="X140" s="291">
        <v>2.2106400000000002</v>
      </c>
    </row>
    <row r="141" spans="1:24" ht="31.5">
      <c r="A141" s="283">
        <f t="shared" si="15"/>
        <v>128</v>
      </c>
      <c r="B141" s="295" t="s">
        <v>26</v>
      </c>
      <c r="C141" s="292">
        <v>10</v>
      </c>
      <c r="D141" s="293"/>
      <c r="E141" s="287">
        <f t="shared" si="16"/>
        <v>389.88773786791734</v>
      </c>
      <c r="F141" s="280">
        <f t="shared" si="18"/>
        <v>102.71769675829313</v>
      </c>
      <c r="G141" s="288"/>
      <c r="H141" s="288"/>
      <c r="I141" s="288">
        <f>E141*0.08</f>
        <v>31.191019029433388</v>
      </c>
      <c r="J141" s="288"/>
      <c r="K141" s="288">
        <f>E141/C141*0.25*2</f>
        <v>19.494386893395866</v>
      </c>
      <c r="L141" s="288">
        <f t="shared" si="17"/>
        <v>52.032290835463883</v>
      </c>
      <c r="M141" s="288"/>
      <c r="N141" s="289">
        <f t="shared" si="19"/>
        <v>0.16200000000000001</v>
      </c>
      <c r="O141" s="287">
        <f t="shared" ref="O141:O151" si="24">(E141+G141+H141+I141+J141)*0.15</f>
        <v>63.161813534602608</v>
      </c>
      <c r="P141" s="288"/>
      <c r="Q141" s="288">
        <f t="shared" si="14"/>
        <v>12.96</v>
      </c>
      <c r="R141" s="341">
        <f t="shared" si="20"/>
        <v>0</v>
      </c>
      <c r="S141" s="287"/>
      <c r="T141" s="287"/>
      <c r="U141" s="279">
        <f t="shared" si="21"/>
        <v>568.72724816081313</v>
      </c>
      <c r="V141" s="290"/>
      <c r="W141" s="290"/>
      <c r="X141" s="291">
        <v>1.9379</v>
      </c>
    </row>
    <row r="142" spans="1:24" ht="31.5">
      <c r="A142" s="283">
        <f t="shared" si="15"/>
        <v>129</v>
      </c>
      <c r="B142" s="295" t="s">
        <v>27</v>
      </c>
      <c r="C142" s="292">
        <v>10</v>
      </c>
      <c r="D142" s="293"/>
      <c r="E142" s="287">
        <f t="shared" si="16"/>
        <v>346.56732519558136</v>
      </c>
      <c r="F142" s="280">
        <f t="shared" si="18"/>
        <v>82.640553998909979</v>
      </c>
      <c r="G142" s="288"/>
      <c r="H142" s="288"/>
      <c r="I142" s="288">
        <f>E142*0.08</f>
        <v>27.72538601564651</v>
      </c>
      <c r="J142" s="288"/>
      <c r="K142" s="288">
        <f>E142/C142*0.25</f>
        <v>8.6641831298895333</v>
      </c>
      <c r="L142" s="288">
        <f t="shared" si="17"/>
        <v>46.250984853373943</v>
      </c>
      <c r="M142" s="288"/>
      <c r="N142" s="289">
        <f t="shared" si="19"/>
        <v>0.16200000000000001</v>
      </c>
      <c r="O142" s="287">
        <f t="shared" si="24"/>
        <v>56.143906681684179</v>
      </c>
      <c r="P142" s="288"/>
      <c r="Q142" s="288">
        <f t="shared" ref="Q142:Q205" si="25">0.216*6*C142</f>
        <v>12.96</v>
      </c>
      <c r="R142" s="341">
        <f t="shared" si="20"/>
        <v>0</v>
      </c>
      <c r="S142" s="287"/>
      <c r="T142" s="287"/>
      <c r="U142" s="279">
        <f t="shared" si="21"/>
        <v>498.31178587617552</v>
      </c>
      <c r="V142" s="290"/>
      <c r="W142" s="290"/>
      <c r="X142" s="291">
        <v>1.72258</v>
      </c>
    </row>
    <row r="143" spans="1:24" ht="15.75">
      <c r="A143" s="283">
        <f t="shared" ref="A143:A148" si="26">A142+1</f>
        <v>130</v>
      </c>
      <c r="B143" s="295" t="s">
        <v>1388</v>
      </c>
      <c r="C143" s="292">
        <v>3</v>
      </c>
      <c r="D143" s="293"/>
      <c r="E143" s="287">
        <f t="shared" ref="E143:E206" si="27">X143*11*(C143-D143)*1.063*1.13045*1.1611*1.0487*1.25</f>
        <v>155.9546927654776</v>
      </c>
      <c r="F143" s="280">
        <f t="shared" si="18"/>
        <v>39.527425766377412</v>
      </c>
      <c r="G143" s="288"/>
      <c r="H143" s="288"/>
      <c r="I143" s="288">
        <f>E143*0.12</f>
        <v>18.714563131857311</v>
      </c>
      <c r="J143" s="288"/>
      <c r="K143" s="288"/>
      <c r="L143" s="288">
        <f t="shared" ref="L143:L206" si="28">E143/11*1.468</f>
        <v>20.812862634520101</v>
      </c>
      <c r="M143" s="288"/>
      <c r="N143" s="289">
        <f t="shared" si="19"/>
        <v>0.16800000000000001</v>
      </c>
      <c r="O143" s="287">
        <f t="shared" si="24"/>
        <v>26.200388384600238</v>
      </c>
      <c r="P143" s="288"/>
      <c r="Q143" s="288">
        <f t="shared" si="25"/>
        <v>3.8879999999999999</v>
      </c>
      <c r="R143" s="341">
        <f t="shared" si="20"/>
        <v>0</v>
      </c>
      <c r="S143" s="287"/>
      <c r="T143" s="287"/>
      <c r="U143" s="279">
        <f t="shared" si="21"/>
        <v>225.57050691645526</v>
      </c>
      <c r="V143" s="290"/>
      <c r="W143" s="290"/>
      <c r="X143" s="291">
        <v>2.58386</v>
      </c>
    </row>
    <row r="144" spans="1:24" ht="15.75">
      <c r="A144" s="283">
        <f t="shared" si="26"/>
        <v>131</v>
      </c>
      <c r="B144" s="295" t="s">
        <v>1387</v>
      </c>
      <c r="C144" s="292">
        <v>2</v>
      </c>
      <c r="D144" s="293"/>
      <c r="E144" s="287">
        <f t="shared" si="27"/>
        <v>88.952105768133833</v>
      </c>
      <c r="F144" s="280">
        <f t="shared" si="18"/>
        <v>22.545315534687013</v>
      </c>
      <c r="G144" s="288"/>
      <c r="H144" s="288"/>
      <c r="I144" s="288">
        <f>E144*0.12</f>
        <v>10.67425269217606</v>
      </c>
      <c r="J144" s="288"/>
      <c r="K144" s="288"/>
      <c r="L144" s="288">
        <f t="shared" si="28"/>
        <v>11.871062842510952</v>
      </c>
      <c r="M144" s="288"/>
      <c r="N144" s="289">
        <f t="shared" si="19"/>
        <v>0.16799999999999998</v>
      </c>
      <c r="O144" s="287">
        <f t="shared" si="24"/>
        <v>14.943953769046482</v>
      </c>
      <c r="P144" s="288"/>
      <c r="Q144" s="288">
        <f t="shared" si="25"/>
        <v>2.5920000000000001</v>
      </c>
      <c r="R144" s="341">
        <f t="shared" si="20"/>
        <v>0</v>
      </c>
      <c r="S144" s="287"/>
      <c r="T144" s="287"/>
      <c r="U144" s="279">
        <f t="shared" si="21"/>
        <v>129.03337507186734</v>
      </c>
      <c r="V144" s="290"/>
      <c r="W144" s="290"/>
      <c r="X144" s="291">
        <v>2.2106400000000002</v>
      </c>
    </row>
    <row r="145" spans="1:24" ht="15.75">
      <c r="A145" s="283">
        <f t="shared" si="26"/>
        <v>132</v>
      </c>
      <c r="B145" s="295" t="s">
        <v>28</v>
      </c>
      <c r="C145" s="292">
        <v>3</v>
      </c>
      <c r="D145" s="293"/>
      <c r="E145" s="287">
        <f t="shared" si="27"/>
        <v>93.573057088300132</v>
      </c>
      <c r="F145" s="280">
        <f t="shared" si="18"/>
        <v>12.487749800511326</v>
      </c>
      <c r="G145" s="288"/>
      <c r="H145" s="288"/>
      <c r="I145" s="288"/>
      <c r="J145" s="288"/>
      <c r="K145" s="288"/>
      <c r="L145" s="288">
        <f t="shared" si="28"/>
        <v>12.487749800511326</v>
      </c>
      <c r="M145" s="288"/>
      <c r="N145" s="289">
        <f t="shared" si="19"/>
        <v>0.2</v>
      </c>
      <c r="O145" s="287">
        <f>(E145+G145+H145+I145+J145)*0.2</f>
        <v>18.714611417660027</v>
      </c>
      <c r="P145" s="288"/>
      <c r="Q145" s="288">
        <f t="shared" si="25"/>
        <v>3.8879999999999999</v>
      </c>
      <c r="R145" s="341">
        <f t="shared" si="20"/>
        <v>0</v>
      </c>
      <c r="S145" s="287"/>
      <c r="T145" s="287"/>
      <c r="U145" s="279">
        <f t="shared" si="21"/>
        <v>128.66341830647147</v>
      </c>
      <c r="V145" s="290"/>
      <c r="W145" s="290"/>
      <c r="X145" s="291">
        <v>1.5503199999999999</v>
      </c>
    </row>
    <row r="146" spans="1:24" ht="15.75">
      <c r="A146" s="283">
        <f t="shared" si="26"/>
        <v>133</v>
      </c>
      <c r="B146" s="295" t="s">
        <v>29</v>
      </c>
      <c r="C146" s="292">
        <v>2</v>
      </c>
      <c r="D146" s="293"/>
      <c r="E146" s="287">
        <f t="shared" si="27"/>
        <v>69.313465039116252</v>
      </c>
      <c r="F146" s="280">
        <f t="shared" si="18"/>
        <v>9.2501969706747857</v>
      </c>
      <c r="G146" s="288"/>
      <c r="H146" s="288"/>
      <c r="I146" s="288"/>
      <c r="J146" s="288"/>
      <c r="K146" s="288"/>
      <c r="L146" s="288">
        <f t="shared" si="28"/>
        <v>9.2501969706747857</v>
      </c>
      <c r="M146" s="288"/>
      <c r="N146" s="289">
        <f t="shared" si="19"/>
        <v>0.2</v>
      </c>
      <c r="O146" s="287">
        <f>(E146+G146+H146+I146+J146)*0.2</f>
        <v>13.862693007823252</v>
      </c>
      <c r="P146" s="288"/>
      <c r="Q146" s="288">
        <f t="shared" si="25"/>
        <v>2.5920000000000001</v>
      </c>
      <c r="R146" s="341">
        <f t="shared" si="20"/>
        <v>0</v>
      </c>
      <c r="S146" s="287"/>
      <c r="T146" s="287"/>
      <c r="U146" s="279">
        <f t="shared" si="21"/>
        <v>95.018355017614297</v>
      </c>
      <c r="V146" s="290"/>
      <c r="W146" s="290"/>
      <c r="X146" s="291">
        <v>1.72258</v>
      </c>
    </row>
    <row r="147" spans="1:24" ht="15.75">
      <c r="A147" s="283">
        <f t="shared" si="26"/>
        <v>134</v>
      </c>
      <c r="B147" s="295" t="s">
        <v>30</v>
      </c>
      <c r="C147" s="292">
        <v>1</v>
      </c>
      <c r="D147" s="293"/>
      <c r="E147" s="287">
        <f t="shared" si="27"/>
        <v>38.988773786791725</v>
      </c>
      <c r="F147" s="280">
        <f t="shared" si="18"/>
        <v>5.203229083546387</v>
      </c>
      <c r="G147" s="288"/>
      <c r="H147" s="288"/>
      <c r="I147" s="288"/>
      <c r="J147" s="288"/>
      <c r="K147" s="288"/>
      <c r="L147" s="288">
        <f t="shared" si="28"/>
        <v>5.203229083546387</v>
      </c>
      <c r="M147" s="288"/>
      <c r="N147" s="289">
        <f t="shared" si="19"/>
        <v>0.2</v>
      </c>
      <c r="O147" s="287">
        <f>(E147+G147+H147+I147+J147)*0.2</f>
        <v>7.7977547573583452</v>
      </c>
      <c r="P147" s="288"/>
      <c r="Q147" s="288">
        <f t="shared" si="25"/>
        <v>1.296</v>
      </c>
      <c r="R147" s="341">
        <f t="shared" si="20"/>
        <v>0</v>
      </c>
      <c r="S147" s="287"/>
      <c r="T147" s="287"/>
      <c r="U147" s="279">
        <f t="shared" si="21"/>
        <v>53.285757627696462</v>
      </c>
      <c r="V147" s="290"/>
      <c r="W147" s="290"/>
      <c r="X147" s="291">
        <v>1.9379</v>
      </c>
    </row>
    <row r="148" spans="1:24" ht="15.75">
      <c r="A148" s="283">
        <f t="shared" si="26"/>
        <v>135</v>
      </c>
      <c r="B148" s="295" t="s">
        <v>31</v>
      </c>
      <c r="C148" s="292">
        <v>1</v>
      </c>
      <c r="D148" s="293"/>
      <c r="E148" s="287">
        <f t="shared" si="27"/>
        <v>51.98489758849253</v>
      </c>
      <c r="F148" s="280">
        <f t="shared" si="18"/>
        <v>11.096412685252769</v>
      </c>
      <c r="G148" s="288"/>
      <c r="H148" s="288"/>
      <c r="I148" s="288">
        <f>E148*0.08</f>
        <v>4.1587918070794023</v>
      </c>
      <c r="J148" s="288"/>
      <c r="K148" s="288"/>
      <c r="L148" s="288">
        <f t="shared" si="28"/>
        <v>6.9376208781733659</v>
      </c>
      <c r="M148" s="288"/>
      <c r="N148" s="289">
        <f t="shared" si="19"/>
        <v>0.16200000000000001</v>
      </c>
      <c r="O148" s="287">
        <f t="shared" si="24"/>
        <v>8.4215534093357896</v>
      </c>
      <c r="P148" s="288"/>
      <c r="Q148" s="288">
        <f t="shared" si="25"/>
        <v>1.296</v>
      </c>
      <c r="R148" s="341">
        <f t="shared" si="20"/>
        <v>0</v>
      </c>
      <c r="S148" s="287"/>
      <c r="T148" s="287"/>
      <c r="U148" s="279">
        <f t="shared" si="21"/>
        <v>72.798863683081095</v>
      </c>
      <c r="V148" s="290"/>
      <c r="W148" s="290"/>
      <c r="X148" s="291">
        <v>2.58386</v>
      </c>
    </row>
    <row r="149" spans="1:24" ht="15.75">
      <c r="A149" s="283">
        <f>A148+1</f>
        <v>136</v>
      </c>
      <c r="B149" s="295" t="s">
        <v>32</v>
      </c>
      <c r="C149" s="292">
        <v>2</v>
      </c>
      <c r="D149" s="293"/>
      <c r="E149" s="287">
        <f t="shared" si="27"/>
        <v>88.952105768133833</v>
      </c>
      <c r="F149" s="280">
        <f t="shared" si="18"/>
        <v>41.225257745995115</v>
      </c>
      <c r="G149" s="288"/>
      <c r="H149" s="288"/>
      <c r="I149" s="288">
        <f>E149*0.08</f>
        <v>7.116168461450707</v>
      </c>
      <c r="J149" s="288"/>
      <c r="K149" s="288">
        <f>E149*0.25</f>
        <v>22.238026442033458</v>
      </c>
      <c r="L149" s="288">
        <f t="shared" si="28"/>
        <v>11.871062842510952</v>
      </c>
      <c r="M149" s="288"/>
      <c r="N149" s="289">
        <f t="shared" si="19"/>
        <v>0.16200000000000001</v>
      </c>
      <c r="O149" s="287">
        <f t="shared" si="24"/>
        <v>14.410241134437682</v>
      </c>
      <c r="P149" s="288"/>
      <c r="Q149" s="288">
        <f t="shared" si="25"/>
        <v>2.5920000000000001</v>
      </c>
      <c r="R149" s="341">
        <f t="shared" si="20"/>
        <v>0</v>
      </c>
      <c r="S149" s="287"/>
      <c r="T149" s="287"/>
      <c r="U149" s="279">
        <f t="shared" si="21"/>
        <v>147.17960464856665</v>
      </c>
      <c r="V149" s="290"/>
      <c r="W149" s="290"/>
      <c r="X149" s="291">
        <v>2.2106400000000002</v>
      </c>
    </row>
    <row r="150" spans="1:24" ht="15.75">
      <c r="A150" s="283">
        <f t="shared" ref="A150:A213" si="29">A149+1</f>
        <v>137</v>
      </c>
      <c r="B150" s="295" t="s">
        <v>33</v>
      </c>
      <c r="C150" s="292">
        <v>1</v>
      </c>
      <c r="D150" s="293"/>
      <c r="E150" s="287">
        <f t="shared" si="27"/>
        <v>38.988773786791725</v>
      </c>
      <c r="F150" s="280">
        <f t="shared" si="18"/>
        <v>8.3223309864897246</v>
      </c>
      <c r="G150" s="288"/>
      <c r="H150" s="288"/>
      <c r="I150" s="288">
        <f>E150*0.08</f>
        <v>3.119101902943338</v>
      </c>
      <c r="J150" s="288"/>
      <c r="K150" s="288"/>
      <c r="L150" s="288">
        <f t="shared" si="28"/>
        <v>5.203229083546387</v>
      </c>
      <c r="M150" s="288"/>
      <c r="N150" s="289">
        <f t="shared" si="19"/>
        <v>0.16199999999999998</v>
      </c>
      <c r="O150" s="287">
        <f>(E150+G150+H150+I150+J150)*0.15</f>
        <v>6.3161813534602587</v>
      </c>
      <c r="P150" s="288"/>
      <c r="Q150" s="288">
        <f t="shared" si="25"/>
        <v>1.296</v>
      </c>
      <c r="R150" s="341">
        <f t="shared" si="20"/>
        <v>0</v>
      </c>
      <c r="S150" s="287"/>
      <c r="T150" s="287"/>
      <c r="U150" s="279">
        <f t="shared" si="21"/>
        <v>54.923286126741708</v>
      </c>
      <c r="V150" s="290"/>
      <c r="W150" s="290"/>
      <c r="X150" s="291">
        <v>1.9379</v>
      </c>
    </row>
    <row r="151" spans="1:24" ht="15.75">
      <c r="A151" s="283">
        <f t="shared" si="29"/>
        <v>138</v>
      </c>
      <c r="B151" s="295" t="s">
        <v>34</v>
      </c>
      <c r="C151" s="292">
        <v>1</v>
      </c>
      <c r="D151" s="293"/>
      <c r="E151" s="287">
        <f t="shared" si="27"/>
        <v>51.98489758849253</v>
      </c>
      <c r="F151" s="280">
        <f t="shared" si="18"/>
        <v>13.175808588792469</v>
      </c>
      <c r="G151" s="288"/>
      <c r="H151" s="288"/>
      <c r="I151" s="288">
        <f t="shared" ref="I151:I214" si="30">E151*0.12</f>
        <v>6.238187710619103</v>
      </c>
      <c r="J151" s="288"/>
      <c r="K151" s="288"/>
      <c r="L151" s="288">
        <f t="shared" si="28"/>
        <v>6.9376208781733659</v>
      </c>
      <c r="M151" s="288"/>
      <c r="N151" s="289">
        <f t="shared" si="19"/>
        <v>0.16799999999999998</v>
      </c>
      <c r="O151" s="287">
        <f t="shared" si="24"/>
        <v>8.7334627948667443</v>
      </c>
      <c r="P151" s="288"/>
      <c r="Q151" s="288">
        <f t="shared" si="25"/>
        <v>1.296</v>
      </c>
      <c r="R151" s="341">
        <f t="shared" si="20"/>
        <v>0</v>
      </c>
      <c r="S151" s="287"/>
      <c r="T151" s="287"/>
      <c r="U151" s="279">
        <f t="shared" si="21"/>
        <v>75.190168972151739</v>
      </c>
      <c r="V151" s="290"/>
      <c r="W151" s="290"/>
      <c r="X151" s="291">
        <v>2.58386</v>
      </c>
    </row>
    <row r="152" spans="1:24" ht="17.25" customHeight="1">
      <c r="A152" s="283">
        <f t="shared" si="29"/>
        <v>139</v>
      </c>
      <c r="B152" s="514" t="s">
        <v>35</v>
      </c>
      <c r="C152" s="292">
        <v>1</v>
      </c>
      <c r="D152" s="293"/>
      <c r="E152" s="287">
        <f t="shared" si="27"/>
        <v>78.162643150671272</v>
      </c>
      <c r="F152" s="280">
        <f t="shared" si="18"/>
        <v>19.810677191279225</v>
      </c>
      <c r="G152" s="288"/>
      <c r="H152" s="288"/>
      <c r="I152" s="288">
        <f t="shared" si="30"/>
        <v>9.3795171780805529</v>
      </c>
      <c r="J152" s="288"/>
      <c r="K152" s="288"/>
      <c r="L152" s="288">
        <f t="shared" si="28"/>
        <v>10.431160013198674</v>
      </c>
      <c r="M152" s="288"/>
      <c r="N152" s="289">
        <f t="shared" si="19"/>
        <v>0.224</v>
      </c>
      <c r="O152" s="287">
        <f>(E152+G152+H152+I152+J152)*0.2</f>
        <v>17.508432065750366</v>
      </c>
      <c r="P152" s="288"/>
      <c r="Q152" s="288">
        <f t="shared" si="25"/>
        <v>1.296</v>
      </c>
      <c r="R152" s="341">
        <f t="shared" si="20"/>
        <v>0</v>
      </c>
      <c r="S152" s="287"/>
      <c r="T152" s="287"/>
      <c r="U152" s="279">
        <f t="shared" si="21"/>
        <v>116.77775240770087</v>
      </c>
      <c r="V152" s="327" t="s">
        <v>439</v>
      </c>
      <c r="W152" s="290"/>
      <c r="X152" s="291">
        <v>3.8849999999999998</v>
      </c>
    </row>
    <row r="153" spans="1:24" ht="17.25" customHeight="1">
      <c r="A153" s="283">
        <f t="shared" si="29"/>
        <v>140</v>
      </c>
      <c r="B153" s="300" t="s">
        <v>36</v>
      </c>
      <c r="C153" s="292">
        <v>1</v>
      </c>
      <c r="D153" s="293"/>
      <c r="E153" s="287">
        <f t="shared" si="27"/>
        <v>55.528673126345623</v>
      </c>
      <c r="F153" s="280">
        <f t="shared" ref="F153:F218" si="31">SUM(G153:M153)</f>
        <v>14.073994606931961</v>
      </c>
      <c r="G153" s="288"/>
      <c r="H153" s="288"/>
      <c r="I153" s="288">
        <f t="shared" si="30"/>
        <v>6.6634407751614741</v>
      </c>
      <c r="J153" s="288"/>
      <c r="K153" s="288"/>
      <c r="L153" s="288">
        <f t="shared" si="28"/>
        <v>7.4105538317704882</v>
      </c>
      <c r="M153" s="288"/>
      <c r="N153" s="289">
        <f t="shared" ref="N153:N218" si="32">O153/E153</f>
        <v>0.22400000000000003</v>
      </c>
      <c r="O153" s="287">
        <f>(E153+G153+H153+I153+J153)*0.2</f>
        <v>12.438422780301421</v>
      </c>
      <c r="P153" s="288"/>
      <c r="Q153" s="288">
        <f t="shared" si="25"/>
        <v>1.296</v>
      </c>
      <c r="R153" s="341">
        <f t="shared" ref="R153:R218" si="33">SUM(S153:T153)</f>
        <v>0</v>
      </c>
      <c r="S153" s="287"/>
      <c r="T153" s="287"/>
      <c r="U153" s="279">
        <f t="shared" ref="U153:U218" si="34">E153+F153+O153+P153+Q153+R153</f>
        <v>83.337090513579014</v>
      </c>
      <c r="V153" s="329" t="s">
        <v>441</v>
      </c>
      <c r="W153" s="290"/>
      <c r="X153" s="291">
        <v>2.76</v>
      </c>
    </row>
    <row r="154" spans="1:24" ht="17.25" customHeight="1">
      <c r="A154" s="283">
        <f t="shared" si="29"/>
        <v>141</v>
      </c>
      <c r="B154" s="300" t="s">
        <v>37</v>
      </c>
      <c r="C154" s="292">
        <v>1</v>
      </c>
      <c r="D154" s="293"/>
      <c r="E154" s="287">
        <f t="shared" si="27"/>
        <v>55.528673126345623</v>
      </c>
      <c r="F154" s="280">
        <f t="shared" si="31"/>
        <v>22.05814730807402</v>
      </c>
      <c r="G154" s="288">
        <f>E154/2003*60*12*0.4</f>
        <v>7.9841527011420572</v>
      </c>
      <c r="H154" s="288"/>
      <c r="I154" s="288">
        <f t="shared" si="30"/>
        <v>6.6634407751614741</v>
      </c>
      <c r="J154" s="288"/>
      <c r="K154" s="288"/>
      <c r="L154" s="288">
        <f t="shared" si="28"/>
        <v>7.4105538317704882</v>
      </c>
      <c r="M154" s="288"/>
      <c r="N154" s="289">
        <f t="shared" si="32"/>
        <v>0.25275686470294556</v>
      </c>
      <c r="O154" s="287">
        <f>(E154+G154+H154+I154+J154)*0.2</f>
        <v>14.035253320529831</v>
      </c>
      <c r="P154" s="288"/>
      <c r="Q154" s="288">
        <f t="shared" si="25"/>
        <v>1.296</v>
      </c>
      <c r="R154" s="341">
        <f t="shared" si="33"/>
        <v>0</v>
      </c>
      <c r="S154" s="287"/>
      <c r="T154" s="287"/>
      <c r="U154" s="279">
        <f t="shared" si="34"/>
        <v>92.918073754949489</v>
      </c>
      <c r="V154" s="328" t="s">
        <v>440</v>
      </c>
      <c r="W154" s="290"/>
      <c r="X154" s="291">
        <v>2.76</v>
      </c>
    </row>
    <row r="155" spans="1:24" ht="17.25" customHeight="1">
      <c r="A155" s="283">
        <f t="shared" si="29"/>
        <v>142</v>
      </c>
      <c r="B155" s="300" t="s">
        <v>38</v>
      </c>
      <c r="C155" s="292">
        <v>3</v>
      </c>
      <c r="D155" s="293"/>
      <c r="E155" s="287">
        <f t="shared" si="27"/>
        <v>185.90034046646144</v>
      </c>
      <c r="F155" s="280">
        <f t="shared" si="31"/>
        <v>47.117286292772221</v>
      </c>
      <c r="G155" s="288"/>
      <c r="H155" s="288"/>
      <c r="I155" s="288">
        <f t="shared" si="30"/>
        <v>22.308040855975371</v>
      </c>
      <c r="J155" s="288"/>
      <c r="K155" s="288"/>
      <c r="L155" s="288">
        <f t="shared" si="28"/>
        <v>24.80924543679685</v>
      </c>
      <c r="M155" s="288"/>
      <c r="N155" s="289">
        <f>O155/E155</f>
        <v>0.224</v>
      </c>
      <c r="O155" s="287">
        <f>(E155+G155+H155+I155+J155)*0.2</f>
        <v>41.641676264487366</v>
      </c>
      <c r="P155" s="288"/>
      <c r="Q155" s="288">
        <f t="shared" si="25"/>
        <v>3.8879999999999999</v>
      </c>
      <c r="R155" s="341">
        <f t="shared" si="33"/>
        <v>0</v>
      </c>
      <c r="S155" s="287"/>
      <c r="T155" s="287"/>
      <c r="U155" s="279">
        <f t="shared" si="34"/>
        <v>278.54730302372104</v>
      </c>
      <c r="V155" s="328" t="s">
        <v>440</v>
      </c>
      <c r="W155" s="290"/>
      <c r="X155" s="291">
        <v>3.08</v>
      </c>
    </row>
    <row r="156" spans="1:24" ht="15.75">
      <c r="A156" s="283">
        <f t="shared" si="29"/>
        <v>143</v>
      </c>
      <c r="B156" s="300" t="s">
        <v>39</v>
      </c>
      <c r="C156" s="292">
        <v>1</v>
      </c>
      <c r="D156" s="293"/>
      <c r="E156" s="287">
        <f t="shared" si="27"/>
        <v>68.505482606959006</v>
      </c>
      <c r="F156" s="280">
        <f t="shared" si="31"/>
        <v>17.363025955291064</v>
      </c>
      <c r="G156" s="288"/>
      <c r="H156" s="288"/>
      <c r="I156" s="288">
        <f t="shared" si="30"/>
        <v>8.2206579128350796</v>
      </c>
      <c r="J156" s="288"/>
      <c r="K156" s="288"/>
      <c r="L156" s="288">
        <f t="shared" si="28"/>
        <v>9.142368042455983</v>
      </c>
      <c r="M156" s="288"/>
      <c r="N156" s="289">
        <f t="shared" si="32"/>
        <v>0.224</v>
      </c>
      <c r="O156" s="287">
        <f>(E156+G156+H156+I156+J156)*0.2</f>
        <v>15.345228103958817</v>
      </c>
      <c r="P156" s="288"/>
      <c r="Q156" s="288">
        <f t="shared" si="25"/>
        <v>1.296</v>
      </c>
      <c r="R156" s="341">
        <f t="shared" si="33"/>
        <v>0</v>
      </c>
      <c r="S156" s="287"/>
      <c r="T156" s="287"/>
      <c r="U156" s="279">
        <f t="shared" si="34"/>
        <v>102.50973666620889</v>
      </c>
      <c r="V156" s="328" t="s">
        <v>440</v>
      </c>
      <c r="W156" s="290"/>
      <c r="X156" s="291">
        <v>3.4049999999999998</v>
      </c>
    </row>
    <row r="157" spans="1:24" ht="15.75">
      <c r="A157" s="283">
        <f t="shared" si="29"/>
        <v>144</v>
      </c>
      <c r="B157" s="301" t="s">
        <v>40</v>
      </c>
      <c r="C157" s="292">
        <v>4</v>
      </c>
      <c r="D157" s="293"/>
      <c r="E157" s="287">
        <f t="shared" si="27"/>
        <v>138.6269300782325</v>
      </c>
      <c r="F157" s="280">
        <f t="shared" si="31"/>
        <v>55.068004912959623</v>
      </c>
      <c r="G157" s="288">
        <f>E157/2003*60*12*0.4</f>
        <v>19.93237936222215</v>
      </c>
      <c r="H157" s="288"/>
      <c r="I157" s="288">
        <f t="shared" si="30"/>
        <v>16.635231609387901</v>
      </c>
      <c r="J157" s="288"/>
      <c r="K157" s="288"/>
      <c r="L157" s="288">
        <f t="shared" si="28"/>
        <v>18.500393941349571</v>
      </c>
      <c r="M157" s="288"/>
      <c r="N157" s="289">
        <f t="shared" si="32"/>
        <v>0.18956764852720917</v>
      </c>
      <c r="O157" s="287">
        <f>(E157+G157+H157+I157+J157)*0.15</f>
        <v>26.27918115747638</v>
      </c>
      <c r="P157" s="288"/>
      <c r="Q157" s="288">
        <f t="shared" si="25"/>
        <v>5.1840000000000002</v>
      </c>
      <c r="R157" s="341">
        <f t="shared" si="33"/>
        <v>0</v>
      </c>
      <c r="S157" s="287"/>
      <c r="T157" s="287"/>
      <c r="U157" s="279">
        <f t="shared" si="34"/>
        <v>225.15811614866851</v>
      </c>
      <c r="V157" s="290"/>
      <c r="W157" s="290"/>
      <c r="X157" s="291">
        <v>1.72258</v>
      </c>
    </row>
    <row r="158" spans="1:24" ht="31.5">
      <c r="A158" s="283">
        <f t="shared" si="29"/>
        <v>145</v>
      </c>
      <c r="B158" s="301" t="s">
        <v>41</v>
      </c>
      <c r="C158" s="292">
        <v>0</v>
      </c>
      <c r="D158" s="293"/>
      <c r="E158" s="287">
        <f t="shared" si="27"/>
        <v>0</v>
      </c>
      <c r="F158" s="280">
        <f t="shared" si="31"/>
        <v>0</v>
      </c>
      <c r="G158" s="288">
        <f>E158/2003*60*12*0.4</f>
        <v>0</v>
      </c>
      <c r="H158" s="288"/>
      <c r="I158" s="288">
        <f t="shared" si="30"/>
        <v>0</v>
      </c>
      <c r="J158" s="288"/>
      <c r="K158" s="288"/>
      <c r="L158" s="288">
        <f t="shared" si="28"/>
        <v>0</v>
      </c>
      <c r="M158" s="288"/>
      <c r="N158" s="289" t="e">
        <f t="shared" si="32"/>
        <v>#DIV/0!</v>
      </c>
      <c r="O158" s="287">
        <f t="shared" ref="O158:O183" si="35">(E158+G158+H158+I158+J158)*0.15</f>
        <v>0</v>
      </c>
      <c r="P158" s="288"/>
      <c r="Q158" s="288">
        <f t="shared" si="25"/>
        <v>0</v>
      </c>
      <c r="R158" s="341">
        <f t="shared" si="33"/>
        <v>0</v>
      </c>
      <c r="S158" s="287"/>
      <c r="T158" s="287"/>
      <c r="U158" s="279">
        <f t="shared" si="34"/>
        <v>0</v>
      </c>
      <c r="V158" s="290"/>
      <c r="W158" s="290"/>
      <c r="X158" s="291">
        <v>1.5503199999999999</v>
      </c>
    </row>
    <row r="159" spans="1:24" ht="31.5">
      <c r="A159" s="283">
        <f t="shared" si="29"/>
        <v>146</v>
      </c>
      <c r="B159" s="301" t="s">
        <v>42</v>
      </c>
      <c r="C159" s="292">
        <v>11</v>
      </c>
      <c r="D159" s="293"/>
      <c r="E159" s="287">
        <f t="shared" si="27"/>
        <v>343.10120932376725</v>
      </c>
      <c r="F159" s="280">
        <f t="shared" si="31"/>
        <v>144.09089109112156</v>
      </c>
      <c r="G159" s="288">
        <f>E159/2003*60*12*0.4</f>
        <v>49.33257527970293</v>
      </c>
      <c r="H159" s="288"/>
      <c r="I159" s="288">
        <f t="shared" si="30"/>
        <v>41.172145118852072</v>
      </c>
      <c r="J159" s="288"/>
      <c r="K159" s="288">
        <f>E159*0.25/C159</f>
        <v>7.797754757358347</v>
      </c>
      <c r="L159" s="288">
        <f t="shared" si="28"/>
        <v>45.788415935208214</v>
      </c>
      <c r="M159" s="288"/>
      <c r="N159" s="289">
        <f t="shared" si="32"/>
        <v>0.1895676485272092</v>
      </c>
      <c r="O159" s="287">
        <f t="shared" si="35"/>
        <v>65.040889458348346</v>
      </c>
      <c r="P159" s="288"/>
      <c r="Q159" s="288">
        <f t="shared" si="25"/>
        <v>14.256</v>
      </c>
      <c r="R159" s="341">
        <f t="shared" si="33"/>
        <v>0</v>
      </c>
      <c r="S159" s="287"/>
      <c r="T159" s="287"/>
      <c r="U159" s="279">
        <f t="shared" si="34"/>
        <v>566.48898987323719</v>
      </c>
      <c r="V159" s="290"/>
      <c r="W159" s="290"/>
      <c r="X159" s="291">
        <v>1.5503199999999999</v>
      </c>
    </row>
    <row r="160" spans="1:24" ht="15.75">
      <c r="A160" s="283">
        <f t="shared" si="29"/>
        <v>147</v>
      </c>
      <c r="B160" s="301" t="s">
        <v>43</v>
      </c>
      <c r="C160" s="292">
        <v>3</v>
      </c>
      <c r="D160" s="293"/>
      <c r="E160" s="287">
        <f t="shared" si="27"/>
        <v>103.97019755867439</v>
      </c>
      <c r="F160" s="280">
        <f t="shared" si="31"/>
        <v>41.301003684719717</v>
      </c>
      <c r="G160" s="288">
        <f>E160/2003*60*12*0.4</f>
        <v>14.949284521666611</v>
      </c>
      <c r="H160" s="288"/>
      <c r="I160" s="288">
        <f t="shared" si="30"/>
        <v>12.476423707040926</v>
      </c>
      <c r="J160" s="288"/>
      <c r="K160" s="288"/>
      <c r="L160" s="288">
        <f t="shared" si="28"/>
        <v>13.87529545601218</v>
      </c>
      <c r="M160" s="288"/>
      <c r="N160" s="289">
        <f t="shared" si="32"/>
        <v>0.1895676485272092</v>
      </c>
      <c r="O160" s="287">
        <f t="shared" si="35"/>
        <v>19.70938586810729</v>
      </c>
      <c r="P160" s="288"/>
      <c r="Q160" s="288">
        <f t="shared" si="25"/>
        <v>3.8879999999999999</v>
      </c>
      <c r="R160" s="341">
        <f t="shared" si="33"/>
        <v>0</v>
      </c>
      <c r="S160" s="287"/>
      <c r="T160" s="287"/>
      <c r="U160" s="279">
        <f t="shared" si="34"/>
        <v>168.8685871115014</v>
      </c>
      <c r="V160" s="290"/>
      <c r="W160" s="290"/>
      <c r="X160" s="291">
        <v>1.72258</v>
      </c>
    </row>
    <row r="161" spans="1:24" ht="31.5">
      <c r="A161" s="283">
        <f t="shared" si="29"/>
        <v>148</v>
      </c>
      <c r="B161" s="301" t="s">
        <v>44</v>
      </c>
      <c r="C161" s="292">
        <v>4</v>
      </c>
      <c r="D161" s="293"/>
      <c r="E161" s="287">
        <f t="shared" si="27"/>
        <v>124.76407611773351</v>
      </c>
      <c r="F161" s="280">
        <f t="shared" si="31"/>
        <v>57.35889524236314</v>
      </c>
      <c r="G161" s="288">
        <f>E161/2003*60*12*0.4</f>
        <v>17.939118283528334</v>
      </c>
      <c r="H161" s="288"/>
      <c r="I161" s="288">
        <f t="shared" si="30"/>
        <v>14.97168913412802</v>
      </c>
      <c r="J161" s="288"/>
      <c r="K161" s="288">
        <f>E161*0.25/C161</f>
        <v>7.7977547573583443</v>
      </c>
      <c r="L161" s="288">
        <f t="shared" si="28"/>
        <v>16.650333067348434</v>
      </c>
      <c r="M161" s="288"/>
      <c r="N161" s="289">
        <f t="shared" si="32"/>
        <v>0.18956764852720917</v>
      </c>
      <c r="O161" s="287">
        <f t="shared" si="35"/>
        <v>23.651232530308476</v>
      </c>
      <c r="P161" s="288"/>
      <c r="Q161" s="288">
        <f t="shared" si="25"/>
        <v>5.1840000000000002</v>
      </c>
      <c r="R161" s="341">
        <f t="shared" si="33"/>
        <v>0</v>
      </c>
      <c r="S161" s="287"/>
      <c r="T161" s="287"/>
      <c r="U161" s="279">
        <f t="shared" si="34"/>
        <v>210.95820389040512</v>
      </c>
      <c r="V161" s="290"/>
      <c r="W161" s="290"/>
      <c r="X161" s="291">
        <v>1.5503199999999999</v>
      </c>
    </row>
    <row r="162" spans="1:24" ht="31.5">
      <c r="A162" s="283">
        <f t="shared" si="29"/>
        <v>149</v>
      </c>
      <c r="B162" s="301" t="s">
        <v>45</v>
      </c>
      <c r="C162" s="292">
        <v>2</v>
      </c>
      <c r="D162" s="293"/>
      <c r="E162" s="287">
        <f t="shared" si="27"/>
        <v>69.313465039116252</v>
      </c>
      <c r="F162" s="280">
        <f t="shared" si="31"/>
        <v>17.567812775368736</v>
      </c>
      <c r="G162" s="288"/>
      <c r="H162" s="288"/>
      <c r="I162" s="288">
        <f t="shared" si="30"/>
        <v>8.3176158046939506</v>
      </c>
      <c r="J162" s="288"/>
      <c r="K162" s="288"/>
      <c r="L162" s="288">
        <f t="shared" si="28"/>
        <v>9.2501969706747857</v>
      </c>
      <c r="M162" s="288"/>
      <c r="N162" s="289">
        <f t="shared" si="32"/>
        <v>0.16799999999999998</v>
      </c>
      <c r="O162" s="287">
        <f t="shared" si="35"/>
        <v>11.644662126571529</v>
      </c>
      <c r="P162" s="288"/>
      <c r="Q162" s="288">
        <f t="shared" si="25"/>
        <v>2.5920000000000001</v>
      </c>
      <c r="R162" s="341">
        <f t="shared" si="33"/>
        <v>0</v>
      </c>
      <c r="S162" s="287"/>
      <c r="T162" s="287"/>
      <c r="U162" s="279">
        <f t="shared" si="34"/>
        <v>101.11793994105652</v>
      </c>
      <c r="V162" s="290"/>
      <c r="W162" s="290"/>
      <c r="X162" s="291">
        <v>1.72258</v>
      </c>
    </row>
    <row r="163" spans="1:24" ht="31.5">
      <c r="A163" s="283">
        <f t="shared" si="29"/>
        <v>150</v>
      </c>
      <c r="B163" s="301" t="s">
        <v>46</v>
      </c>
      <c r="C163" s="292">
        <v>1</v>
      </c>
      <c r="D163" s="293"/>
      <c r="E163" s="287">
        <f t="shared" si="27"/>
        <v>34.656732519558126</v>
      </c>
      <c r="F163" s="280">
        <f t="shared" si="31"/>
        <v>8.7839063876843682</v>
      </c>
      <c r="G163" s="288"/>
      <c r="H163" s="288"/>
      <c r="I163" s="288">
        <f t="shared" si="30"/>
        <v>4.1588079023469753</v>
      </c>
      <c r="J163" s="288"/>
      <c r="K163" s="288"/>
      <c r="L163" s="288">
        <f t="shared" si="28"/>
        <v>4.6250984853373929</v>
      </c>
      <c r="M163" s="288"/>
      <c r="N163" s="289">
        <f t="shared" si="32"/>
        <v>0.16799999999999998</v>
      </c>
      <c r="O163" s="287">
        <f t="shared" si="35"/>
        <v>5.8223310632857643</v>
      </c>
      <c r="P163" s="288"/>
      <c r="Q163" s="288">
        <f t="shared" si="25"/>
        <v>1.296</v>
      </c>
      <c r="R163" s="341">
        <f t="shared" si="33"/>
        <v>0</v>
      </c>
      <c r="S163" s="287"/>
      <c r="T163" s="287"/>
      <c r="U163" s="279">
        <f t="shared" si="34"/>
        <v>50.55896997052826</v>
      </c>
      <c r="V163" s="290"/>
      <c r="W163" s="290"/>
      <c r="X163" s="291">
        <v>1.72258</v>
      </c>
    </row>
    <row r="164" spans="1:24" ht="31.35" customHeight="1">
      <c r="A164" s="283">
        <f t="shared" si="29"/>
        <v>151</v>
      </c>
      <c r="B164" s="301" t="s">
        <v>47</v>
      </c>
      <c r="C164" s="292">
        <v>4</v>
      </c>
      <c r="D164" s="293"/>
      <c r="E164" s="287">
        <f t="shared" si="27"/>
        <v>138.6269300782325</v>
      </c>
      <c r="F164" s="280">
        <f t="shared" si="31"/>
        <v>55.068004912959623</v>
      </c>
      <c r="G164" s="288">
        <f>E164/2003*60*12*0.4</f>
        <v>19.93237936222215</v>
      </c>
      <c r="H164" s="288"/>
      <c r="I164" s="288">
        <f t="shared" si="30"/>
        <v>16.635231609387901</v>
      </c>
      <c r="J164" s="288"/>
      <c r="K164" s="288"/>
      <c r="L164" s="288">
        <f t="shared" si="28"/>
        <v>18.500393941349571</v>
      </c>
      <c r="M164" s="288"/>
      <c r="N164" s="289">
        <f t="shared" si="32"/>
        <v>0.18956764852720917</v>
      </c>
      <c r="O164" s="287">
        <f t="shared" si="35"/>
        <v>26.27918115747638</v>
      </c>
      <c r="P164" s="288"/>
      <c r="Q164" s="288">
        <f t="shared" si="25"/>
        <v>5.1840000000000002</v>
      </c>
      <c r="R164" s="341">
        <f t="shared" si="33"/>
        <v>0</v>
      </c>
      <c r="S164" s="287"/>
      <c r="T164" s="287"/>
      <c r="U164" s="279">
        <f t="shared" si="34"/>
        <v>225.15811614866851</v>
      </c>
      <c r="V164" s="290"/>
      <c r="W164" s="290"/>
      <c r="X164" s="291">
        <v>1.72258</v>
      </c>
    </row>
    <row r="165" spans="1:24" ht="31.5">
      <c r="A165" s="283">
        <f t="shared" si="29"/>
        <v>152</v>
      </c>
      <c r="B165" s="301" t="s">
        <v>48</v>
      </c>
      <c r="C165" s="292">
        <v>5</v>
      </c>
      <c r="D165" s="293"/>
      <c r="E165" s="287">
        <f t="shared" si="27"/>
        <v>194.94386893395867</v>
      </c>
      <c r="F165" s="280">
        <f t="shared" si="31"/>
        <v>91.085352833197135</v>
      </c>
      <c r="G165" s="288">
        <f>E165/2003*60*12*0.4</f>
        <v>28.029872318013034</v>
      </c>
      <c r="H165" s="288"/>
      <c r="I165" s="288">
        <f t="shared" si="30"/>
        <v>23.39326427207504</v>
      </c>
      <c r="J165" s="288"/>
      <c r="K165" s="288">
        <f>E165/C165*0.35</f>
        <v>13.646070825377105</v>
      </c>
      <c r="L165" s="288">
        <f t="shared" si="28"/>
        <v>26.016145417731941</v>
      </c>
      <c r="M165" s="288"/>
      <c r="N165" s="289">
        <f t="shared" si="32"/>
        <v>0.1895676485272092</v>
      </c>
      <c r="O165" s="287">
        <f t="shared" si="35"/>
        <v>36.955050828607014</v>
      </c>
      <c r="P165" s="288"/>
      <c r="Q165" s="288">
        <f t="shared" si="25"/>
        <v>6.48</v>
      </c>
      <c r="R165" s="341">
        <f t="shared" si="33"/>
        <v>0</v>
      </c>
      <c r="S165" s="287"/>
      <c r="T165" s="287"/>
      <c r="U165" s="279">
        <f t="shared" si="34"/>
        <v>329.46427259576285</v>
      </c>
      <c r="V165" s="290"/>
      <c r="W165" s="290"/>
      <c r="X165" s="291">
        <v>1.9379</v>
      </c>
    </row>
    <row r="166" spans="1:24" ht="31.5">
      <c r="A166" s="283">
        <f t="shared" si="29"/>
        <v>153</v>
      </c>
      <c r="B166" s="301" t="s">
        <v>49</v>
      </c>
      <c r="C166" s="292">
        <v>5</v>
      </c>
      <c r="D166" s="293"/>
      <c r="E166" s="287">
        <f t="shared" si="27"/>
        <v>173.28366259779068</v>
      </c>
      <c r="F166" s="280">
        <f t="shared" si="31"/>
        <v>43.919531938421855</v>
      </c>
      <c r="G166" s="288"/>
      <c r="H166" s="288"/>
      <c r="I166" s="288">
        <f t="shared" si="30"/>
        <v>20.79403951173488</v>
      </c>
      <c r="J166" s="288"/>
      <c r="K166" s="288"/>
      <c r="L166" s="288">
        <f t="shared" si="28"/>
        <v>23.125492426686971</v>
      </c>
      <c r="M166" s="288"/>
      <c r="N166" s="289">
        <f t="shared" si="32"/>
        <v>0.16799999999999998</v>
      </c>
      <c r="O166" s="287">
        <f t="shared" si="35"/>
        <v>29.111655316428831</v>
      </c>
      <c r="P166" s="288"/>
      <c r="Q166" s="288">
        <f t="shared" si="25"/>
        <v>6.48</v>
      </c>
      <c r="R166" s="341">
        <f t="shared" si="33"/>
        <v>0</v>
      </c>
      <c r="S166" s="287"/>
      <c r="T166" s="287"/>
      <c r="U166" s="279">
        <f t="shared" si="34"/>
        <v>252.79484985264136</v>
      </c>
      <c r="V166" s="290"/>
      <c r="W166" s="290"/>
      <c r="X166" s="291">
        <v>1.72258</v>
      </c>
    </row>
    <row r="167" spans="1:24" ht="31.35" customHeight="1">
      <c r="A167" s="283">
        <f t="shared" si="29"/>
        <v>154</v>
      </c>
      <c r="B167" s="301" t="s">
        <v>50</v>
      </c>
      <c r="C167" s="292">
        <v>2</v>
      </c>
      <c r="D167" s="293"/>
      <c r="E167" s="287">
        <f t="shared" si="27"/>
        <v>88.952105768133833</v>
      </c>
      <c r="F167" s="280">
        <f t="shared" si="31"/>
        <v>22.545315534687013</v>
      </c>
      <c r="G167" s="288"/>
      <c r="H167" s="288"/>
      <c r="I167" s="288">
        <f t="shared" si="30"/>
        <v>10.67425269217606</v>
      </c>
      <c r="J167" s="288"/>
      <c r="K167" s="288"/>
      <c r="L167" s="288">
        <f t="shared" si="28"/>
        <v>11.871062842510952</v>
      </c>
      <c r="M167" s="288"/>
      <c r="N167" s="289">
        <f t="shared" si="32"/>
        <v>0.16799999999999998</v>
      </c>
      <c r="O167" s="287">
        <f t="shared" si="35"/>
        <v>14.943953769046482</v>
      </c>
      <c r="P167" s="288"/>
      <c r="Q167" s="288">
        <f t="shared" si="25"/>
        <v>2.5920000000000001</v>
      </c>
      <c r="R167" s="341">
        <f t="shared" si="33"/>
        <v>0</v>
      </c>
      <c r="S167" s="287"/>
      <c r="T167" s="287"/>
      <c r="U167" s="279">
        <f t="shared" si="34"/>
        <v>129.03337507186734</v>
      </c>
      <c r="V167" s="290"/>
      <c r="W167" s="290"/>
      <c r="X167" s="291">
        <v>2.2106400000000002</v>
      </c>
    </row>
    <row r="168" spans="1:24" ht="31.5">
      <c r="A168" s="283">
        <f t="shared" si="29"/>
        <v>155</v>
      </c>
      <c r="B168" s="301" t="s">
        <v>51</v>
      </c>
      <c r="C168" s="292">
        <v>3</v>
      </c>
      <c r="D168" s="293"/>
      <c r="E168" s="287">
        <f t="shared" si="27"/>
        <v>93.573057088300132</v>
      </c>
      <c r="F168" s="280">
        <f t="shared" si="31"/>
        <v>44.968610121111936</v>
      </c>
      <c r="G168" s="288">
        <f>E168/2003*60*12*0.4</f>
        <v>13.454338712646251</v>
      </c>
      <c r="H168" s="288"/>
      <c r="I168" s="288">
        <f t="shared" si="30"/>
        <v>11.228766850596015</v>
      </c>
      <c r="J168" s="288"/>
      <c r="K168" s="288">
        <f>E168*0.25/C168</f>
        <v>7.7977547573583443</v>
      </c>
      <c r="L168" s="288">
        <f t="shared" si="28"/>
        <v>12.487749800511326</v>
      </c>
      <c r="M168" s="288"/>
      <c r="N168" s="289">
        <f t="shared" si="32"/>
        <v>0.18956764852720917</v>
      </c>
      <c r="O168" s="287">
        <f t="shared" si="35"/>
        <v>17.738424397731357</v>
      </c>
      <c r="P168" s="288"/>
      <c r="Q168" s="288">
        <f t="shared" si="25"/>
        <v>3.8879999999999999</v>
      </c>
      <c r="R168" s="341">
        <f t="shared" si="33"/>
        <v>0</v>
      </c>
      <c r="S168" s="287"/>
      <c r="T168" s="287"/>
      <c r="U168" s="279">
        <f t="shared" si="34"/>
        <v>160.16809160714345</v>
      </c>
      <c r="V168" s="290"/>
      <c r="W168" s="290"/>
      <c r="X168" s="291">
        <v>1.5503199999999999</v>
      </c>
    </row>
    <row r="169" spans="1:24" ht="31.5">
      <c r="A169" s="283">
        <f t="shared" si="29"/>
        <v>156</v>
      </c>
      <c r="B169" s="301" t="s">
        <v>52</v>
      </c>
      <c r="C169" s="292">
        <v>4</v>
      </c>
      <c r="D169" s="293"/>
      <c r="E169" s="287">
        <f t="shared" si="27"/>
        <v>138.6269300782325</v>
      </c>
      <c r="F169" s="280">
        <f t="shared" si="31"/>
        <v>55.068004912959623</v>
      </c>
      <c r="G169" s="288">
        <f>E169/2003*60*12*0.4</f>
        <v>19.93237936222215</v>
      </c>
      <c r="H169" s="288"/>
      <c r="I169" s="288">
        <f t="shared" si="30"/>
        <v>16.635231609387901</v>
      </c>
      <c r="J169" s="288"/>
      <c r="K169" s="288"/>
      <c r="L169" s="288">
        <f t="shared" si="28"/>
        <v>18.500393941349571</v>
      </c>
      <c r="M169" s="288"/>
      <c r="N169" s="289">
        <f t="shared" si="32"/>
        <v>0.18956764852720917</v>
      </c>
      <c r="O169" s="287">
        <f t="shared" si="35"/>
        <v>26.27918115747638</v>
      </c>
      <c r="P169" s="288"/>
      <c r="Q169" s="288">
        <f t="shared" si="25"/>
        <v>5.1840000000000002</v>
      </c>
      <c r="R169" s="341">
        <f t="shared" si="33"/>
        <v>0</v>
      </c>
      <c r="S169" s="287"/>
      <c r="T169" s="287"/>
      <c r="U169" s="279">
        <f t="shared" si="34"/>
        <v>225.15811614866851</v>
      </c>
      <c r="V169" s="290"/>
      <c r="W169" s="290"/>
      <c r="X169" s="291">
        <v>1.72258</v>
      </c>
    </row>
    <row r="170" spans="1:24" ht="15.75">
      <c r="A170" s="283">
        <f t="shared" si="29"/>
        <v>157</v>
      </c>
      <c r="B170" s="301" t="s">
        <v>53</v>
      </c>
      <c r="C170" s="292">
        <v>4</v>
      </c>
      <c r="D170" s="293"/>
      <c r="E170" s="287">
        <f t="shared" si="27"/>
        <v>124.76407611773351</v>
      </c>
      <c r="F170" s="280">
        <f t="shared" si="31"/>
        <v>31.622022201476454</v>
      </c>
      <c r="G170" s="288"/>
      <c r="H170" s="288"/>
      <c r="I170" s="288">
        <f t="shared" si="30"/>
        <v>14.97168913412802</v>
      </c>
      <c r="J170" s="288"/>
      <c r="K170" s="288"/>
      <c r="L170" s="288">
        <f t="shared" si="28"/>
        <v>16.650333067348434</v>
      </c>
      <c r="M170" s="288"/>
      <c r="N170" s="289">
        <f t="shared" si="32"/>
        <v>0.16799999999999998</v>
      </c>
      <c r="O170" s="287">
        <f t="shared" si="35"/>
        <v>20.960364787779227</v>
      </c>
      <c r="P170" s="288"/>
      <c r="Q170" s="288">
        <f t="shared" si="25"/>
        <v>5.1840000000000002</v>
      </c>
      <c r="R170" s="341">
        <f t="shared" si="33"/>
        <v>0</v>
      </c>
      <c r="S170" s="287"/>
      <c r="T170" s="287"/>
      <c r="U170" s="279">
        <f t="shared" si="34"/>
        <v>182.53046310698917</v>
      </c>
      <c r="V170" s="290"/>
      <c r="W170" s="290"/>
      <c r="X170" s="291">
        <v>1.5503199999999999</v>
      </c>
    </row>
    <row r="171" spans="1:24" ht="31.5">
      <c r="A171" s="283">
        <f t="shared" si="29"/>
        <v>158</v>
      </c>
      <c r="B171" s="301" t="s">
        <v>54</v>
      </c>
      <c r="C171" s="292">
        <v>1</v>
      </c>
      <c r="D171" s="293"/>
      <c r="E171" s="287">
        <f t="shared" si="27"/>
        <v>31.191019029433377</v>
      </c>
      <c r="F171" s="280">
        <f t="shared" si="31"/>
        <v>7.9055055503691136</v>
      </c>
      <c r="G171" s="288"/>
      <c r="H171" s="288"/>
      <c r="I171" s="288">
        <f t="shared" si="30"/>
        <v>3.7429222835320051</v>
      </c>
      <c r="J171" s="288"/>
      <c r="K171" s="288"/>
      <c r="L171" s="288">
        <f t="shared" si="28"/>
        <v>4.1625832668371086</v>
      </c>
      <c r="M171" s="288"/>
      <c r="N171" s="289">
        <f t="shared" si="32"/>
        <v>0.16799999999999998</v>
      </c>
      <c r="O171" s="287">
        <f t="shared" si="35"/>
        <v>5.2400911969448067</v>
      </c>
      <c r="P171" s="288"/>
      <c r="Q171" s="288">
        <f t="shared" si="25"/>
        <v>1.296</v>
      </c>
      <c r="R171" s="341">
        <f t="shared" si="33"/>
        <v>0</v>
      </c>
      <c r="S171" s="287"/>
      <c r="T171" s="287"/>
      <c r="U171" s="279">
        <f t="shared" si="34"/>
        <v>45.632615776747294</v>
      </c>
      <c r="V171" s="290"/>
      <c r="W171" s="290"/>
      <c r="X171" s="291">
        <v>1.5503199999999999</v>
      </c>
    </row>
    <row r="172" spans="1:24" ht="15.75">
      <c r="A172" s="283">
        <f t="shared" si="29"/>
        <v>159</v>
      </c>
      <c r="B172" s="301" t="s">
        <v>55</v>
      </c>
      <c r="C172" s="292">
        <v>4</v>
      </c>
      <c r="D172" s="293"/>
      <c r="E172" s="287">
        <f t="shared" si="27"/>
        <v>124.76407611773351</v>
      </c>
      <c r="F172" s="280">
        <f t="shared" si="31"/>
        <v>26.631459156767114</v>
      </c>
      <c r="G172" s="288"/>
      <c r="H172" s="288"/>
      <c r="I172" s="288">
        <f>E172*0.08</f>
        <v>9.9811260894186802</v>
      </c>
      <c r="J172" s="288"/>
      <c r="K172" s="288"/>
      <c r="L172" s="288">
        <f t="shared" si="28"/>
        <v>16.650333067348434</v>
      </c>
      <c r="M172" s="288"/>
      <c r="N172" s="289">
        <f t="shared" si="32"/>
        <v>0.16200000000000001</v>
      </c>
      <c r="O172" s="287">
        <f t="shared" si="35"/>
        <v>20.211780331072831</v>
      </c>
      <c r="P172" s="288"/>
      <c r="Q172" s="288">
        <f t="shared" si="25"/>
        <v>5.1840000000000002</v>
      </c>
      <c r="R172" s="341">
        <f t="shared" si="33"/>
        <v>0</v>
      </c>
      <c r="S172" s="287"/>
      <c r="T172" s="287"/>
      <c r="U172" s="279">
        <f t="shared" si="34"/>
        <v>176.79131560557343</v>
      </c>
      <c r="V172" s="290"/>
      <c r="W172" s="290"/>
      <c r="X172" s="291">
        <v>1.5503199999999999</v>
      </c>
    </row>
    <row r="173" spans="1:24" ht="17.25" customHeight="1">
      <c r="A173" s="283">
        <f t="shared" si="29"/>
        <v>160</v>
      </c>
      <c r="B173" s="301" t="s">
        <v>56</v>
      </c>
      <c r="C173" s="298">
        <v>2</v>
      </c>
      <c r="D173" s="293"/>
      <c r="E173" s="287">
        <f t="shared" si="27"/>
        <v>69.313465039116252</v>
      </c>
      <c r="F173" s="280">
        <f t="shared" si="31"/>
        <v>9.2501969706747857</v>
      </c>
      <c r="G173" s="288"/>
      <c r="H173" s="288"/>
      <c r="I173" s="288"/>
      <c r="J173" s="288"/>
      <c r="K173" s="288"/>
      <c r="L173" s="288">
        <f t="shared" si="28"/>
        <v>9.2501969706747857</v>
      </c>
      <c r="M173" s="288"/>
      <c r="N173" s="289">
        <f t="shared" si="32"/>
        <v>0.15</v>
      </c>
      <c r="O173" s="287">
        <f t="shared" si="35"/>
        <v>10.397019755867438</v>
      </c>
      <c r="P173" s="288"/>
      <c r="Q173" s="288">
        <f t="shared" si="25"/>
        <v>2.5920000000000001</v>
      </c>
      <c r="R173" s="341">
        <f t="shared" si="33"/>
        <v>0</v>
      </c>
      <c r="S173" s="287"/>
      <c r="T173" s="287"/>
      <c r="U173" s="279">
        <f t="shared" si="34"/>
        <v>91.552681765658477</v>
      </c>
      <c r="V173" s="290"/>
      <c r="W173" s="290"/>
      <c r="X173" s="291">
        <v>1.72258</v>
      </c>
    </row>
    <row r="174" spans="1:24" ht="31.5">
      <c r="A174" s="283">
        <f t="shared" si="29"/>
        <v>161</v>
      </c>
      <c r="B174" s="301" t="s">
        <v>57</v>
      </c>
      <c r="C174" s="292">
        <v>1</v>
      </c>
      <c r="D174" s="293"/>
      <c r="E174" s="287">
        <f t="shared" si="27"/>
        <v>51.98489758849253</v>
      </c>
      <c r="F174" s="280">
        <f t="shared" si="31"/>
        <v>26.172032985915603</v>
      </c>
      <c r="G174" s="288"/>
      <c r="H174" s="288"/>
      <c r="I174" s="288">
        <f t="shared" si="30"/>
        <v>6.238187710619103</v>
      </c>
      <c r="J174" s="288"/>
      <c r="K174" s="288">
        <f>E174*0.25/C174</f>
        <v>12.996224397123132</v>
      </c>
      <c r="L174" s="288">
        <f t="shared" si="28"/>
        <v>6.9376208781733659</v>
      </c>
      <c r="M174" s="288"/>
      <c r="N174" s="289">
        <f t="shared" si="32"/>
        <v>0.16799999999999998</v>
      </c>
      <c r="O174" s="287">
        <f t="shared" si="35"/>
        <v>8.7334627948667443</v>
      </c>
      <c r="P174" s="288"/>
      <c r="Q174" s="288">
        <f t="shared" si="25"/>
        <v>1.296</v>
      </c>
      <c r="R174" s="341">
        <f t="shared" si="33"/>
        <v>0</v>
      </c>
      <c r="S174" s="287"/>
      <c r="T174" s="287"/>
      <c r="U174" s="279">
        <f t="shared" si="34"/>
        <v>88.186393369274882</v>
      </c>
      <c r="V174" s="290"/>
      <c r="W174" s="290"/>
      <c r="X174" s="291">
        <v>2.58386</v>
      </c>
    </row>
    <row r="175" spans="1:24" ht="31.5">
      <c r="A175" s="283">
        <f t="shared" si="29"/>
        <v>162</v>
      </c>
      <c r="B175" s="301" t="s">
        <v>58</v>
      </c>
      <c r="C175" s="292">
        <v>5</v>
      </c>
      <c r="D175" s="293"/>
      <c r="E175" s="287">
        <f t="shared" si="27"/>
        <v>222.38026442033458</v>
      </c>
      <c r="F175" s="280">
        <f t="shared" si="31"/>
        <v>56.36328883671753</v>
      </c>
      <c r="G175" s="288"/>
      <c r="H175" s="288"/>
      <c r="I175" s="288">
        <f t="shared" si="30"/>
        <v>26.68563173044015</v>
      </c>
      <c r="J175" s="288"/>
      <c r="K175" s="288"/>
      <c r="L175" s="288">
        <f t="shared" si="28"/>
        <v>29.677657106277376</v>
      </c>
      <c r="M175" s="288"/>
      <c r="N175" s="289">
        <f t="shared" si="32"/>
        <v>0.16800000000000001</v>
      </c>
      <c r="O175" s="287">
        <f t="shared" si="35"/>
        <v>37.359884422616211</v>
      </c>
      <c r="P175" s="288"/>
      <c r="Q175" s="288">
        <f t="shared" si="25"/>
        <v>6.48</v>
      </c>
      <c r="R175" s="341">
        <f t="shared" si="33"/>
        <v>0</v>
      </c>
      <c r="S175" s="287"/>
      <c r="T175" s="287"/>
      <c r="U175" s="279">
        <f t="shared" si="34"/>
        <v>322.58343767966835</v>
      </c>
      <c r="V175" s="290"/>
      <c r="W175" s="290"/>
      <c r="X175" s="291">
        <v>2.2106400000000002</v>
      </c>
    </row>
    <row r="176" spans="1:24" ht="31.5">
      <c r="A176" s="283">
        <f t="shared" si="29"/>
        <v>163</v>
      </c>
      <c r="B176" s="301" t="s">
        <v>59</v>
      </c>
      <c r="C176" s="292">
        <v>0</v>
      </c>
      <c r="D176" s="293"/>
      <c r="E176" s="287">
        <f t="shared" si="27"/>
        <v>0</v>
      </c>
      <c r="F176" s="280">
        <f t="shared" si="31"/>
        <v>0</v>
      </c>
      <c r="G176" s="288">
        <f>E176/2003*60*12*0.4</f>
        <v>0</v>
      </c>
      <c r="H176" s="288"/>
      <c r="I176" s="288">
        <f t="shared" si="30"/>
        <v>0</v>
      </c>
      <c r="J176" s="288"/>
      <c r="K176" s="288"/>
      <c r="L176" s="288">
        <f t="shared" si="28"/>
        <v>0</v>
      </c>
      <c r="M176" s="288"/>
      <c r="N176" s="289" t="e">
        <f t="shared" si="32"/>
        <v>#DIV/0!</v>
      </c>
      <c r="O176" s="287">
        <f t="shared" si="35"/>
        <v>0</v>
      </c>
      <c r="P176" s="288"/>
      <c r="Q176" s="288">
        <f t="shared" si="25"/>
        <v>0</v>
      </c>
      <c r="R176" s="341">
        <f t="shared" si="33"/>
        <v>0</v>
      </c>
      <c r="S176" s="287"/>
      <c r="T176" s="287"/>
      <c r="U176" s="279">
        <f t="shared" si="34"/>
        <v>0</v>
      </c>
      <c r="V176" s="290"/>
      <c r="W176" s="290"/>
      <c r="X176" s="291">
        <v>1.9379</v>
      </c>
    </row>
    <row r="177" spans="1:24" ht="15.75">
      <c r="A177" s="283">
        <f t="shared" si="29"/>
        <v>164</v>
      </c>
      <c r="B177" s="301" t="s">
        <v>60</v>
      </c>
      <c r="C177" s="292">
        <v>7</v>
      </c>
      <c r="D177" s="293"/>
      <c r="E177" s="287">
        <f t="shared" si="27"/>
        <v>272.92141650754206</v>
      </c>
      <c r="F177" s="280">
        <f t="shared" si="31"/>
        <v>69.173173565729755</v>
      </c>
      <c r="G177" s="288"/>
      <c r="H177" s="288"/>
      <c r="I177" s="288">
        <f t="shared" si="30"/>
        <v>32.750569980905048</v>
      </c>
      <c r="J177" s="288"/>
      <c r="K177" s="288"/>
      <c r="L177" s="288">
        <f t="shared" si="28"/>
        <v>36.422603584824707</v>
      </c>
      <c r="M177" s="288"/>
      <c r="N177" s="289">
        <f t="shared" si="32"/>
        <v>0.16799999999999998</v>
      </c>
      <c r="O177" s="287">
        <f t="shared" si="35"/>
        <v>45.850797973267063</v>
      </c>
      <c r="P177" s="288"/>
      <c r="Q177" s="288">
        <f t="shared" si="25"/>
        <v>9.072000000000001</v>
      </c>
      <c r="R177" s="341">
        <f t="shared" si="33"/>
        <v>0</v>
      </c>
      <c r="S177" s="287"/>
      <c r="T177" s="287"/>
      <c r="U177" s="279">
        <f t="shared" si="34"/>
        <v>397.01738804653888</v>
      </c>
      <c r="V177" s="290"/>
      <c r="W177" s="290"/>
      <c r="X177" s="291">
        <v>1.9379</v>
      </c>
    </row>
    <row r="178" spans="1:24" ht="15.75">
      <c r="A178" s="283">
        <f t="shared" si="29"/>
        <v>165</v>
      </c>
      <c r="B178" s="301" t="s">
        <v>61</v>
      </c>
      <c r="C178" s="292">
        <v>2</v>
      </c>
      <c r="D178" s="293"/>
      <c r="E178" s="287">
        <f t="shared" si="27"/>
        <v>77.97754757358345</v>
      </c>
      <c r="F178" s="280">
        <f t="shared" si="31"/>
        <v>19.763763875922788</v>
      </c>
      <c r="G178" s="288"/>
      <c r="H178" s="288"/>
      <c r="I178" s="288">
        <f t="shared" si="30"/>
        <v>9.3573057088300136</v>
      </c>
      <c r="J178" s="288"/>
      <c r="K178" s="288"/>
      <c r="L178" s="288">
        <f t="shared" si="28"/>
        <v>10.406458167092774</v>
      </c>
      <c r="M178" s="288"/>
      <c r="N178" s="289">
        <f t="shared" si="32"/>
        <v>0.16799999999999998</v>
      </c>
      <c r="O178" s="287">
        <f t="shared" si="35"/>
        <v>13.100227992362019</v>
      </c>
      <c r="P178" s="288"/>
      <c r="Q178" s="288">
        <f t="shared" si="25"/>
        <v>2.5920000000000001</v>
      </c>
      <c r="R178" s="341">
        <f t="shared" si="33"/>
        <v>0</v>
      </c>
      <c r="S178" s="287"/>
      <c r="T178" s="287"/>
      <c r="U178" s="279">
        <f t="shared" si="34"/>
        <v>113.43353944186826</v>
      </c>
      <c r="V178" s="290"/>
      <c r="W178" s="290"/>
      <c r="X178" s="291">
        <v>1.9379</v>
      </c>
    </row>
    <row r="179" spans="1:24" ht="17.25" customHeight="1">
      <c r="A179" s="283">
        <f t="shared" si="29"/>
        <v>166</v>
      </c>
      <c r="B179" s="301" t="s">
        <v>62</v>
      </c>
      <c r="C179" s="292">
        <v>1</v>
      </c>
      <c r="D179" s="293"/>
      <c r="E179" s="287">
        <f t="shared" si="27"/>
        <v>38.988773786791725</v>
      </c>
      <c r="F179" s="280">
        <f t="shared" si="31"/>
        <v>9.8818819379613938</v>
      </c>
      <c r="G179" s="288"/>
      <c r="H179" s="288"/>
      <c r="I179" s="288">
        <f t="shared" si="30"/>
        <v>4.6786528544150068</v>
      </c>
      <c r="J179" s="288"/>
      <c r="K179" s="288"/>
      <c r="L179" s="288">
        <f t="shared" si="28"/>
        <v>5.203229083546387</v>
      </c>
      <c r="M179" s="288"/>
      <c r="N179" s="289">
        <f t="shared" si="32"/>
        <v>0.16799999999999998</v>
      </c>
      <c r="O179" s="287">
        <f t="shared" si="35"/>
        <v>6.5501139961810093</v>
      </c>
      <c r="P179" s="288"/>
      <c r="Q179" s="288">
        <f t="shared" si="25"/>
        <v>1.296</v>
      </c>
      <c r="R179" s="341">
        <f t="shared" si="33"/>
        <v>0</v>
      </c>
      <c r="S179" s="287"/>
      <c r="T179" s="287"/>
      <c r="U179" s="279">
        <f t="shared" si="34"/>
        <v>56.716769720934131</v>
      </c>
      <c r="V179" s="290"/>
      <c r="W179" s="290"/>
      <c r="X179" s="291">
        <v>1.9379</v>
      </c>
    </row>
    <row r="180" spans="1:24" ht="31.5">
      <c r="A180" s="283">
        <f t="shared" si="29"/>
        <v>167</v>
      </c>
      <c r="B180" s="301" t="s">
        <v>63</v>
      </c>
      <c r="C180" s="292">
        <v>2</v>
      </c>
      <c r="D180" s="293"/>
      <c r="E180" s="287">
        <f t="shared" si="27"/>
        <v>77.97754757358345</v>
      </c>
      <c r="F180" s="280">
        <f t="shared" si="31"/>
        <v>39.258150769318647</v>
      </c>
      <c r="G180" s="288"/>
      <c r="H180" s="288"/>
      <c r="I180" s="288">
        <f t="shared" si="30"/>
        <v>9.3573057088300136</v>
      </c>
      <c r="J180" s="288"/>
      <c r="K180" s="288">
        <f>E180*0.25/C180*2</f>
        <v>19.494386893395863</v>
      </c>
      <c r="L180" s="288">
        <f t="shared" si="28"/>
        <v>10.406458167092774</v>
      </c>
      <c r="M180" s="288"/>
      <c r="N180" s="289">
        <f t="shared" si="32"/>
        <v>0.16799999999999998</v>
      </c>
      <c r="O180" s="287">
        <f t="shared" si="35"/>
        <v>13.100227992362019</v>
      </c>
      <c r="P180" s="288"/>
      <c r="Q180" s="288">
        <f t="shared" si="25"/>
        <v>2.5920000000000001</v>
      </c>
      <c r="R180" s="341">
        <f t="shared" si="33"/>
        <v>0</v>
      </c>
      <c r="S180" s="287"/>
      <c r="T180" s="287"/>
      <c r="U180" s="279">
        <f t="shared" si="34"/>
        <v>132.92792633526412</v>
      </c>
      <c r="V180" s="290"/>
      <c r="W180" s="290"/>
      <c r="X180" s="291">
        <v>1.9379</v>
      </c>
    </row>
    <row r="181" spans="1:24" ht="17.25" customHeight="1">
      <c r="A181" s="283">
        <f t="shared" si="29"/>
        <v>168</v>
      </c>
      <c r="B181" s="301" t="s">
        <v>64</v>
      </c>
      <c r="C181" s="292">
        <v>2</v>
      </c>
      <c r="D181" s="293"/>
      <c r="E181" s="287">
        <f t="shared" si="27"/>
        <v>57.761086738700442</v>
      </c>
      <c r="F181" s="280">
        <f t="shared" si="31"/>
        <v>10.018923045221857</v>
      </c>
      <c r="G181" s="288"/>
      <c r="H181" s="288"/>
      <c r="I181" s="288">
        <f>E181*0.04</f>
        <v>2.3104434695480176</v>
      </c>
      <c r="J181" s="288"/>
      <c r="K181" s="288"/>
      <c r="L181" s="288">
        <f t="shared" si="28"/>
        <v>7.7084795756738407</v>
      </c>
      <c r="M181" s="288"/>
      <c r="N181" s="289">
        <f t="shared" si="32"/>
        <v>0.156</v>
      </c>
      <c r="O181" s="287">
        <f t="shared" si="35"/>
        <v>9.0107295312372688</v>
      </c>
      <c r="P181" s="288"/>
      <c r="Q181" s="288">
        <f t="shared" si="25"/>
        <v>2.5920000000000001</v>
      </c>
      <c r="R181" s="341">
        <f t="shared" si="33"/>
        <v>0</v>
      </c>
      <c r="S181" s="287"/>
      <c r="T181" s="287"/>
      <c r="U181" s="279">
        <f t="shared" si="34"/>
        <v>79.382739315159569</v>
      </c>
      <c r="V181" s="290"/>
      <c r="W181" s="290"/>
      <c r="X181" s="291">
        <v>1.4354800000000001</v>
      </c>
    </row>
    <row r="182" spans="1:24" ht="15.75">
      <c r="A182" s="283">
        <f t="shared" si="29"/>
        <v>169</v>
      </c>
      <c r="B182" s="301" t="s">
        <v>65</v>
      </c>
      <c r="C182" s="298">
        <v>1</v>
      </c>
      <c r="D182" s="293"/>
      <c r="E182" s="287">
        <f t="shared" si="27"/>
        <v>31.191019029433377</v>
      </c>
      <c r="F182" s="280">
        <f t="shared" si="31"/>
        <v>5.4102240280144436</v>
      </c>
      <c r="G182" s="288"/>
      <c r="H182" s="288"/>
      <c r="I182" s="288">
        <f>E182*0.04</f>
        <v>1.247640761177335</v>
      </c>
      <c r="J182" s="288"/>
      <c r="K182" s="288"/>
      <c r="L182" s="288">
        <f t="shared" si="28"/>
        <v>4.1625832668371086</v>
      </c>
      <c r="M182" s="288"/>
      <c r="N182" s="289">
        <f t="shared" si="32"/>
        <v>0.156</v>
      </c>
      <c r="O182" s="287">
        <f t="shared" si="35"/>
        <v>4.8657989685916068</v>
      </c>
      <c r="P182" s="288"/>
      <c r="Q182" s="288">
        <f t="shared" si="25"/>
        <v>1.296</v>
      </c>
      <c r="R182" s="341">
        <f t="shared" si="33"/>
        <v>0</v>
      </c>
      <c r="S182" s="287"/>
      <c r="T182" s="287"/>
      <c r="U182" s="279">
        <f t="shared" si="34"/>
        <v>42.763042026039422</v>
      </c>
      <c r="V182" s="290"/>
      <c r="W182" s="290"/>
      <c r="X182" s="291">
        <v>1.5503199999999999</v>
      </c>
    </row>
    <row r="183" spans="1:24" ht="17.25" customHeight="1">
      <c r="A183" s="283">
        <f t="shared" si="29"/>
        <v>170</v>
      </c>
      <c r="B183" s="301" t="s">
        <v>66</v>
      </c>
      <c r="C183" s="298">
        <v>1</v>
      </c>
      <c r="D183" s="293"/>
      <c r="E183" s="287">
        <f t="shared" si="27"/>
        <v>49.813243611225232</v>
      </c>
      <c r="F183" s="280">
        <f t="shared" si="31"/>
        <v>12.625393017099633</v>
      </c>
      <c r="G183" s="288"/>
      <c r="H183" s="288"/>
      <c r="I183" s="288">
        <f t="shared" si="30"/>
        <v>5.977589233347028</v>
      </c>
      <c r="J183" s="288"/>
      <c r="K183" s="288"/>
      <c r="L183" s="288">
        <f t="shared" si="28"/>
        <v>6.6478037837526038</v>
      </c>
      <c r="M183" s="288"/>
      <c r="N183" s="289">
        <f t="shared" si="32"/>
        <v>0.16799999999999998</v>
      </c>
      <c r="O183" s="287">
        <f t="shared" si="35"/>
        <v>8.3686249266858379</v>
      </c>
      <c r="P183" s="288"/>
      <c r="Q183" s="288">
        <f t="shared" si="25"/>
        <v>1.296</v>
      </c>
      <c r="R183" s="341">
        <f t="shared" si="33"/>
        <v>0</v>
      </c>
      <c r="S183" s="287"/>
      <c r="T183" s="287"/>
      <c r="U183" s="279">
        <f t="shared" si="34"/>
        <v>72.103261555010704</v>
      </c>
      <c r="V183" s="290"/>
      <c r="W183" s="290"/>
      <c r="X183" s="291">
        <v>2.4759199999999999</v>
      </c>
    </row>
    <row r="184" spans="1:24" ht="15.75">
      <c r="A184" s="302">
        <f t="shared" si="29"/>
        <v>171</v>
      </c>
      <c r="B184" s="513" t="s">
        <v>67</v>
      </c>
      <c r="C184" s="292">
        <v>1</v>
      </c>
      <c r="D184" s="293"/>
      <c r="E184" s="287">
        <f t="shared" si="27"/>
        <v>71.825131543860095</v>
      </c>
      <c r="F184" s="280">
        <f t="shared" si="31"/>
        <v>18.204406067661996</v>
      </c>
      <c r="G184" s="288"/>
      <c r="H184" s="288"/>
      <c r="I184" s="288">
        <f t="shared" si="30"/>
        <v>8.6190157852632119</v>
      </c>
      <c r="J184" s="288"/>
      <c r="K184" s="288"/>
      <c r="L184" s="288">
        <f t="shared" si="28"/>
        <v>9.5853902823987838</v>
      </c>
      <c r="M184" s="288"/>
      <c r="N184" s="289">
        <f t="shared" si="32"/>
        <v>0.22400000000000003</v>
      </c>
      <c r="O184" s="287">
        <f>(E184+G184+H184+I184+J184)*0.2</f>
        <v>16.088829465824663</v>
      </c>
      <c r="P184" s="288"/>
      <c r="Q184" s="288">
        <f t="shared" si="25"/>
        <v>1.296</v>
      </c>
      <c r="R184" s="341">
        <f t="shared" si="33"/>
        <v>0</v>
      </c>
      <c r="S184" s="287"/>
      <c r="T184" s="287"/>
      <c r="U184" s="279">
        <f t="shared" si="34"/>
        <v>107.41436707734675</v>
      </c>
      <c r="V184" s="327" t="s">
        <v>439</v>
      </c>
      <c r="W184" s="290"/>
      <c r="X184" s="291">
        <v>3.57</v>
      </c>
    </row>
    <row r="185" spans="1:24" ht="17.25" customHeight="1">
      <c r="A185" s="283">
        <f t="shared" si="29"/>
        <v>172</v>
      </c>
      <c r="B185" s="284" t="s">
        <v>36</v>
      </c>
      <c r="C185" s="292">
        <v>1</v>
      </c>
      <c r="D185" s="293"/>
      <c r="E185" s="287">
        <f t="shared" si="27"/>
        <v>55.528673126345623</v>
      </c>
      <c r="F185" s="280">
        <f t="shared" si="31"/>
        <v>14.073994606931961</v>
      </c>
      <c r="G185" s="288"/>
      <c r="H185" s="288"/>
      <c r="I185" s="288">
        <f t="shared" si="30"/>
        <v>6.6634407751614741</v>
      </c>
      <c r="J185" s="288"/>
      <c r="K185" s="288"/>
      <c r="L185" s="288">
        <f t="shared" si="28"/>
        <v>7.4105538317704882</v>
      </c>
      <c r="M185" s="288"/>
      <c r="N185" s="289">
        <f t="shared" si="32"/>
        <v>0.22400000000000003</v>
      </c>
      <c r="O185" s="287">
        <f>(E185+G185+H185+I185+J185)*0.2</f>
        <v>12.438422780301421</v>
      </c>
      <c r="P185" s="288"/>
      <c r="Q185" s="288">
        <f t="shared" si="25"/>
        <v>1.296</v>
      </c>
      <c r="R185" s="341">
        <f t="shared" si="33"/>
        <v>0</v>
      </c>
      <c r="S185" s="287"/>
      <c r="T185" s="287"/>
      <c r="U185" s="279">
        <f t="shared" si="34"/>
        <v>83.337090513579014</v>
      </c>
      <c r="V185" s="329" t="s">
        <v>441</v>
      </c>
      <c r="W185" s="290"/>
      <c r="X185" s="291">
        <v>2.76</v>
      </c>
    </row>
    <row r="186" spans="1:24" ht="17.25" customHeight="1">
      <c r="A186" s="283">
        <f t="shared" si="29"/>
        <v>173</v>
      </c>
      <c r="B186" s="284" t="s">
        <v>37</v>
      </c>
      <c r="C186" s="292">
        <v>5</v>
      </c>
      <c r="D186" s="293"/>
      <c r="E186" s="287">
        <f t="shared" si="27"/>
        <v>277.64336563172816</v>
      </c>
      <c r="F186" s="280">
        <f t="shared" si="31"/>
        <v>110.29073654037012</v>
      </c>
      <c r="G186" s="288">
        <f>E186/2003*60*12*0.4</f>
        <v>39.920763505710291</v>
      </c>
      <c r="H186" s="288"/>
      <c r="I186" s="288">
        <f t="shared" si="30"/>
        <v>33.31720387580738</v>
      </c>
      <c r="J186" s="288"/>
      <c r="K186" s="288"/>
      <c r="L186" s="288">
        <f t="shared" si="28"/>
        <v>37.052769158852449</v>
      </c>
      <c r="M186" s="288"/>
      <c r="N186" s="289">
        <f t="shared" si="32"/>
        <v>0.25275686470294556</v>
      </c>
      <c r="O186" s="287">
        <f>(E186+G186+H186+I186+J186)*0.2</f>
        <v>70.176266602649164</v>
      </c>
      <c r="P186" s="288"/>
      <c r="Q186" s="288">
        <f t="shared" si="25"/>
        <v>6.48</v>
      </c>
      <c r="R186" s="341">
        <f t="shared" si="33"/>
        <v>0</v>
      </c>
      <c r="S186" s="287"/>
      <c r="T186" s="287"/>
      <c r="U186" s="279">
        <f t="shared" si="34"/>
        <v>464.59036877474745</v>
      </c>
      <c r="V186" s="328" t="s">
        <v>440</v>
      </c>
      <c r="W186" s="290"/>
      <c r="X186" s="291">
        <v>2.76</v>
      </c>
    </row>
    <row r="187" spans="1:24" ht="15.75">
      <c r="A187" s="283">
        <f t="shared" si="29"/>
        <v>174</v>
      </c>
      <c r="B187" s="295" t="s">
        <v>315</v>
      </c>
      <c r="C187" s="292">
        <v>4</v>
      </c>
      <c r="D187" s="293"/>
      <c r="E187" s="287">
        <f t="shared" si="27"/>
        <v>138.6269300782325</v>
      </c>
      <c r="F187" s="280">
        <f t="shared" si="31"/>
        <v>55.068004912959623</v>
      </c>
      <c r="G187" s="288">
        <f>E187/2003*60*12*0.4</f>
        <v>19.93237936222215</v>
      </c>
      <c r="H187" s="288"/>
      <c r="I187" s="288">
        <f t="shared" si="30"/>
        <v>16.635231609387901</v>
      </c>
      <c r="J187" s="288"/>
      <c r="K187" s="288"/>
      <c r="L187" s="288">
        <f t="shared" si="28"/>
        <v>18.500393941349571</v>
      </c>
      <c r="M187" s="288"/>
      <c r="N187" s="289">
        <f t="shared" si="32"/>
        <v>0.18956764852720917</v>
      </c>
      <c r="O187" s="287">
        <f>(E187+G187+H187+I187+J187)*0.15</f>
        <v>26.27918115747638</v>
      </c>
      <c r="P187" s="288"/>
      <c r="Q187" s="288">
        <f t="shared" si="25"/>
        <v>5.1840000000000002</v>
      </c>
      <c r="R187" s="341">
        <f t="shared" si="33"/>
        <v>0</v>
      </c>
      <c r="S187" s="287"/>
      <c r="T187" s="287"/>
      <c r="U187" s="279">
        <f t="shared" si="34"/>
        <v>225.15811614866851</v>
      </c>
      <c r="V187" s="290"/>
      <c r="W187" s="290"/>
      <c r="X187" s="291">
        <v>1.72258</v>
      </c>
    </row>
    <row r="188" spans="1:24" ht="15.75">
      <c r="A188" s="283">
        <f t="shared" si="29"/>
        <v>175</v>
      </c>
      <c r="B188" s="295" t="s">
        <v>69</v>
      </c>
      <c r="C188" s="292">
        <v>2</v>
      </c>
      <c r="D188" s="293"/>
      <c r="E188" s="287">
        <f t="shared" si="27"/>
        <v>62.382038058866755</v>
      </c>
      <c r="F188" s="280">
        <f t="shared" si="31"/>
        <v>15.811011100738227</v>
      </c>
      <c r="G188" s="288"/>
      <c r="H188" s="288"/>
      <c r="I188" s="288">
        <f t="shared" si="30"/>
        <v>7.4858445670640101</v>
      </c>
      <c r="J188" s="288"/>
      <c r="K188" s="288"/>
      <c r="L188" s="288">
        <f t="shared" si="28"/>
        <v>8.3251665336742171</v>
      </c>
      <c r="M188" s="288"/>
      <c r="N188" s="289">
        <f t="shared" si="32"/>
        <v>0.16799999999999998</v>
      </c>
      <c r="O188" s="287">
        <f t="shared" ref="O188:O200" si="36">(E188+G188+H188+I188+J188)*0.15</f>
        <v>10.480182393889613</v>
      </c>
      <c r="P188" s="288"/>
      <c r="Q188" s="288">
        <f t="shared" si="25"/>
        <v>2.5920000000000001</v>
      </c>
      <c r="R188" s="341">
        <f t="shared" si="33"/>
        <v>0</v>
      </c>
      <c r="S188" s="287"/>
      <c r="T188" s="287"/>
      <c r="U188" s="279">
        <f t="shared" si="34"/>
        <v>91.265231553494587</v>
      </c>
      <c r="V188" s="290"/>
      <c r="W188" s="290"/>
      <c r="X188" s="291">
        <v>1.5503199999999999</v>
      </c>
    </row>
    <row r="189" spans="1:24" ht="15.75">
      <c r="A189" s="283">
        <f t="shared" si="29"/>
        <v>176</v>
      </c>
      <c r="B189" s="295" t="s">
        <v>70</v>
      </c>
      <c r="C189" s="292">
        <v>0</v>
      </c>
      <c r="D189" s="293"/>
      <c r="E189" s="287">
        <f t="shared" si="27"/>
        <v>0</v>
      </c>
      <c r="F189" s="280">
        <f t="shared" si="31"/>
        <v>0</v>
      </c>
      <c r="G189" s="288"/>
      <c r="H189" s="288"/>
      <c r="I189" s="288">
        <f t="shared" si="30"/>
        <v>0</v>
      </c>
      <c r="J189" s="288"/>
      <c r="K189" s="288"/>
      <c r="L189" s="288">
        <f t="shared" si="28"/>
        <v>0</v>
      </c>
      <c r="M189" s="288"/>
      <c r="N189" s="289" t="e">
        <f t="shared" si="32"/>
        <v>#DIV/0!</v>
      </c>
      <c r="O189" s="287">
        <f t="shared" si="36"/>
        <v>0</v>
      </c>
      <c r="P189" s="288"/>
      <c r="Q189" s="288">
        <f t="shared" si="25"/>
        <v>0</v>
      </c>
      <c r="R189" s="341">
        <f t="shared" si="33"/>
        <v>0</v>
      </c>
      <c r="S189" s="287"/>
      <c r="T189" s="287"/>
      <c r="U189" s="279">
        <f t="shared" si="34"/>
        <v>0</v>
      </c>
      <c r="V189" s="290"/>
      <c r="W189" s="290"/>
      <c r="X189" s="291">
        <v>1.5503199999999999</v>
      </c>
    </row>
    <row r="190" spans="1:24" ht="15.75">
      <c r="A190" s="283">
        <f t="shared" si="29"/>
        <v>177</v>
      </c>
      <c r="B190" s="295" t="s">
        <v>71</v>
      </c>
      <c r="C190" s="292">
        <v>4</v>
      </c>
      <c r="D190" s="293"/>
      <c r="E190" s="287">
        <f t="shared" si="27"/>
        <v>124.76407611773351</v>
      </c>
      <c r="F190" s="280">
        <f t="shared" si="31"/>
        <v>49.561140485004792</v>
      </c>
      <c r="G190" s="288">
        <f>E190/2003*60*12*0.4</f>
        <v>17.939118283528334</v>
      </c>
      <c r="H190" s="288"/>
      <c r="I190" s="288">
        <f t="shared" si="30"/>
        <v>14.97168913412802</v>
      </c>
      <c r="J190" s="288"/>
      <c r="K190" s="288"/>
      <c r="L190" s="288">
        <f t="shared" si="28"/>
        <v>16.650333067348434</v>
      </c>
      <c r="M190" s="288"/>
      <c r="N190" s="289">
        <f t="shared" si="32"/>
        <v>0.18956764852720917</v>
      </c>
      <c r="O190" s="287">
        <f t="shared" si="36"/>
        <v>23.651232530308476</v>
      </c>
      <c r="P190" s="288"/>
      <c r="Q190" s="288">
        <f t="shared" si="25"/>
        <v>5.1840000000000002</v>
      </c>
      <c r="R190" s="341">
        <f t="shared" si="33"/>
        <v>0</v>
      </c>
      <c r="S190" s="287"/>
      <c r="T190" s="287"/>
      <c r="U190" s="279">
        <f t="shared" si="34"/>
        <v>203.16044913304677</v>
      </c>
      <c r="V190" s="290"/>
      <c r="W190" s="290"/>
      <c r="X190" s="291">
        <v>1.5503199999999999</v>
      </c>
    </row>
    <row r="191" spans="1:24" ht="31.35" customHeight="1">
      <c r="A191" s="283">
        <f t="shared" si="29"/>
        <v>178</v>
      </c>
      <c r="B191" s="295" t="s">
        <v>72</v>
      </c>
      <c r="C191" s="292">
        <v>5</v>
      </c>
      <c r="D191" s="293"/>
      <c r="E191" s="287">
        <f t="shared" si="27"/>
        <v>194.94386893395867</v>
      </c>
      <c r="F191" s="280">
        <f t="shared" si="31"/>
        <v>77.439282007820026</v>
      </c>
      <c r="G191" s="288">
        <f>E191/2003*60*12*0.4</f>
        <v>28.029872318013034</v>
      </c>
      <c r="H191" s="288"/>
      <c r="I191" s="288">
        <f t="shared" si="30"/>
        <v>23.39326427207504</v>
      </c>
      <c r="J191" s="288"/>
      <c r="K191" s="288"/>
      <c r="L191" s="288">
        <f t="shared" si="28"/>
        <v>26.016145417731941</v>
      </c>
      <c r="M191" s="288"/>
      <c r="N191" s="289">
        <f t="shared" si="32"/>
        <v>0.1895676485272092</v>
      </c>
      <c r="O191" s="287">
        <f t="shared" si="36"/>
        <v>36.955050828607014</v>
      </c>
      <c r="P191" s="288"/>
      <c r="Q191" s="288">
        <f t="shared" si="25"/>
        <v>6.48</v>
      </c>
      <c r="R191" s="341">
        <f t="shared" si="33"/>
        <v>0</v>
      </c>
      <c r="S191" s="287"/>
      <c r="T191" s="287"/>
      <c r="U191" s="279">
        <f t="shared" si="34"/>
        <v>315.81820177038571</v>
      </c>
      <c r="V191" s="290"/>
      <c r="W191" s="290"/>
      <c r="X191" s="291">
        <v>1.9379</v>
      </c>
    </row>
    <row r="192" spans="1:24" ht="31.5">
      <c r="A192" s="283">
        <f t="shared" si="29"/>
        <v>179</v>
      </c>
      <c r="B192" s="295" t="s">
        <v>73</v>
      </c>
      <c r="C192" s="292">
        <v>1</v>
      </c>
      <c r="D192" s="293"/>
      <c r="E192" s="287">
        <f t="shared" si="27"/>
        <v>31.191019029433377</v>
      </c>
      <c r="F192" s="280">
        <f t="shared" si="31"/>
        <v>7.9055055503691136</v>
      </c>
      <c r="G192" s="288"/>
      <c r="H192" s="288"/>
      <c r="I192" s="288">
        <f t="shared" si="30"/>
        <v>3.7429222835320051</v>
      </c>
      <c r="J192" s="288"/>
      <c r="K192" s="288"/>
      <c r="L192" s="288">
        <f t="shared" si="28"/>
        <v>4.1625832668371086</v>
      </c>
      <c r="M192" s="288"/>
      <c r="N192" s="289">
        <f t="shared" si="32"/>
        <v>0.16799999999999998</v>
      </c>
      <c r="O192" s="287">
        <f t="shared" si="36"/>
        <v>5.2400911969448067</v>
      </c>
      <c r="P192" s="288"/>
      <c r="Q192" s="288">
        <f t="shared" si="25"/>
        <v>1.296</v>
      </c>
      <c r="R192" s="341">
        <f t="shared" si="33"/>
        <v>0</v>
      </c>
      <c r="S192" s="287"/>
      <c r="T192" s="287"/>
      <c r="U192" s="279">
        <f t="shared" si="34"/>
        <v>45.632615776747294</v>
      </c>
      <c r="V192" s="290"/>
      <c r="W192" s="290"/>
      <c r="X192" s="291">
        <v>1.5503199999999999</v>
      </c>
    </row>
    <row r="193" spans="1:24" ht="15.75">
      <c r="A193" s="283">
        <f t="shared" si="29"/>
        <v>180</v>
      </c>
      <c r="B193" s="295" t="s">
        <v>60</v>
      </c>
      <c r="C193" s="292">
        <v>7</v>
      </c>
      <c r="D193" s="293"/>
      <c r="E193" s="287">
        <f t="shared" si="27"/>
        <v>272.92141650754206</v>
      </c>
      <c r="F193" s="280">
        <f t="shared" si="31"/>
        <v>78.920367012427675</v>
      </c>
      <c r="G193" s="288"/>
      <c r="H193" s="288"/>
      <c r="I193" s="288">
        <f t="shared" si="30"/>
        <v>32.750569980905048</v>
      </c>
      <c r="J193" s="288"/>
      <c r="K193" s="288">
        <f>E193*0.25/C193</f>
        <v>9.7471934466979313</v>
      </c>
      <c r="L193" s="288">
        <f t="shared" si="28"/>
        <v>36.422603584824707</v>
      </c>
      <c r="M193" s="288"/>
      <c r="N193" s="289">
        <f t="shared" si="32"/>
        <v>0.16799999999999998</v>
      </c>
      <c r="O193" s="287">
        <f t="shared" si="36"/>
        <v>45.850797973267063</v>
      </c>
      <c r="P193" s="288"/>
      <c r="Q193" s="288">
        <f t="shared" si="25"/>
        <v>9.072000000000001</v>
      </c>
      <c r="R193" s="341">
        <f t="shared" si="33"/>
        <v>0</v>
      </c>
      <c r="S193" s="287"/>
      <c r="T193" s="287"/>
      <c r="U193" s="279">
        <f t="shared" si="34"/>
        <v>406.76458149323679</v>
      </c>
      <c r="V193" s="290"/>
      <c r="W193" s="290"/>
      <c r="X193" s="291">
        <v>1.9379</v>
      </c>
    </row>
    <row r="194" spans="1:24" ht="15.75">
      <c r="A194" s="283">
        <f t="shared" si="29"/>
        <v>181</v>
      </c>
      <c r="B194" s="295" t="s">
        <v>74</v>
      </c>
      <c r="C194" s="292">
        <v>1</v>
      </c>
      <c r="D194" s="293"/>
      <c r="E194" s="287">
        <f t="shared" si="27"/>
        <v>38.988773786791725</v>
      </c>
      <c r="F194" s="280">
        <f t="shared" si="31"/>
        <v>9.8818819379613938</v>
      </c>
      <c r="G194" s="288"/>
      <c r="H194" s="288"/>
      <c r="I194" s="288">
        <f t="shared" si="30"/>
        <v>4.6786528544150068</v>
      </c>
      <c r="J194" s="288"/>
      <c r="K194" s="288"/>
      <c r="L194" s="288">
        <f t="shared" si="28"/>
        <v>5.203229083546387</v>
      </c>
      <c r="M194" s="288"/>
      <c r="N194" s="289">
        <f t="shared" si="32"/>
        <v>0.16799999999999998</v>
      </c>
      <c r="O194" s="287">
        <f t="shared" si="36"/>
        <v>6.5501139961810093</v>
      </c>
      <c r="P194" s="288"/>
      <c r="Q194" s="288">
        <f t="shared" si="25"/>
        <v>1.296</v>
      </c>
      <c r="R194" s="341">
        <f t="shared" si="33"/>
        <v>0</v>
      </c>
      <c r="S194" s="287"/>
      <c r="T194" s="287"/>
      <c r="U194" s="279">
        <f t="shared" si="34"/>
        <v>56.716769720934131</v>
      </c>
      <c r="V194" s="290"/>
      <c r="W194" s="290"/>
      <c r="X194" s="291">
        <v>1.9379</v>
      </c>
    </row>
    <row r="195" spans="1:24" ht="31.5">
      <c r="A195" s="283">
        <f t="shared" si="29"/>
        <v>182</v>
      </c>
      <c r="B195" s="295" t="s">
        <v>75</v>
      </c>
      <c r="C195" s="292">
        <v>1</v>
      </c>
      <c r="D195" s="293"/>
      <c r="E195" s="287">
        <f t="shared" si="27"/>
        <v>51.98489758849253</v>
      </c>
      <c r="F195" s="280">
        <f t="shared" si="31"/>
        <v>20.650421921536278</v>
      </c>
      <c r="G195" s="288">
        <f>E195/2003*60*12*0.4</f>
        <v>7.4746133327438091</v>
      </c>
      <c r="H195" s="288"/>
      <c r="I195" s="288">
        <f t="shared" si="30"/>
        <v>6.238187710619103</v>
      </c>
      <c r="J195" s="288"/>
      <c r="K195" s="288"/>
      <c r="L195" s="288">
        <f t="shared" si="28"/>
        <v>6.9376208781733659</v>
      </c>
      <c r="M195" s="288"/>
      <c r="N195" s="289">
        <f t="shared" si="32"/>
        <v>0.18956764852720917</v>
      </c>
      <c r="O195" s="287">
        <f t="shared" si="36"/>
        <v>9.8546547947783161</v>
      </c>
      <c r="P195" s="288"/>
      <c r="Q195" s="288">
        <f t="shared" si="25"/>
        <v>1.296</v>
      </c>
      <c r="R195" s="341">
        <f t="shared" si="33"/>
        <v>0</v>
      </c>
      <c r="S195" s="287"/>
      <c r="T195" s="287"/>
      <c r="U195" s="279">
        <f t="shared" si="34"/>
        <v>83.785974304807127</v>
      </c>
      <c r="V195" s="290"/>
      <c r="W195" s="290"/>
      <c r="X195" s="291">
        <v>2.58386</v>
      </c>
    </row>
    <row r="196" spans="1:24" ht="31.5">
      <c r="A196" s="283">
        <f t="shared" si="29"/>
        <v>183</v>
      </c>
      <c r="B196" s="295" t="s">
        <v>76</v>
      </c>
      <c r="C196" s="292">
        <v>4</v>
      </c>
      <c r="D196" s="293"/>
      <c r="E196" s="287">
        <f t="shared" si="27"/>
        <v>177.90421153626767</v>
      </c>
      <c r="F196" s="280">
        <f t="shared" si="31"/>
        <v>81.789480996554047</v>
      </c>
      <c r="G196" s="288">
        <f>E196/2003*60*12*0.4</f>
        <v>25.579836706163299</v>
      </c>
      <c r="H196" s="288"/>
      <c r="I196" s="288">
        <f t="shared" si="30"/>
        <v>21.348505384352119</v>
      </c>
      <c r="J196" s="288"/>
      <c r="K196" s="288">
        <f>E196/C196*0.25</f>
        <v>11.119013221016729</v>
      </c>
      <c r="L196" s="288">
        <f t="shared" si="28"/>
        <v>23.742125685021904</v>
      </c>
      <c r="M196" s="288"/>
      <c r="N196" s="289">
        <f t="shared" si="32"/>
        <v>0.18956764852720917</v>
      </c>
      <c r="O196" s="287">
        <f t="shared" si="36"/>
        <v>33.72488304401746</v>
      </c>
      <c r="P196" s="288"/>
      <c r="Q196" s="288">
        <f t="shared" si="25"/>
        <v>5.1840000000000002</v>
      </c>
      <c r="R196" s="341">
        <f t="shared" si="33"/>
        <v>0</v>
      </c>
      <c r="S196" s="287"/>
      <c r="T196" s="287"/>
      <c r="U196" s="279">
        <f t="shared" si="34"/>
        <v>298.60257557683923</v>
      </c>
      <c r="V196" s="290"/>
      <c r="W196" s="290"/>
      <c r="X196" s="291">
        <v>2.2106400000000002</v>
      </c>
    </row>
    <row r="197" spans="1:24" ht="15.75">
      <c r="A197" s="283">
        <f t="shared" si="29"/>
        <v>184</v>
      </c>
      <c r="B197" s="295" t="s">
        <v>1390</v>
      </c>
      <c r="C197" s="298">
        <v>1</v>
      </c>
      <c r="D197" s="293"/>
      <c r="E197" s="287">
        <f t="shared" si="27"/>
        <v>31.191019029433377</v>
      </c>
      <c r="F197" s="280">
        <f t="shared" si="31"/>
        <v>4.1625832668371086</v>
      </c>
      <c r="G197" s="288"/>
      <c r="H197" s="288"/>
      <c r="I197" s="288"/>
      <c r="J197" s="288"/>
      <c r="K197" s="288"/>
      <c r="L197" s="288">
        <f t="shared" si="28"/>
        <v>4.1625832668371086</v>
      </c>
      <c r="M197" s="288"/>
      <c r="N197" s="289">
        <f t="shared" si="32"/>
        <v>0.15</v>
      </c>
      <c r="O197" s="287">
        <f t="shared" si="36"/>
        <v>4.6786528544150068</v>
      </c>
      <c r="P197" s="288"/>
      <c r="Q197" s="288">
        <f t="shared" si="25"/>
        <v>1.296</v>
      </c>
      <c r="R197" s="341">
        <f t="shared" si="33"/>
        <v>0</v>
      </c>
      <c r="S197" s="287"/>
      <c r="T197" s="287"/>
      <c r="U197" s="279">
        <f t="shared" si="34"/>
        <v>41.328255150685493</v>
      </c>
      <c r="V197" s="290"/>
      <c r="W197" s="290"/>
      <c r="X197" s="291">
        <v>1.5503199999999999</v>
      </c>
    </row>
    <row r="198" spans="1:24" ht="15.75">
      <c r="A198" s="283">
        <f t="shared" si="29"/>
        <v>185</v>
      </c>
      <c r="B198" s="295" t="s">
        <v>77</v>
      </c>
      <c r="C198" s="292">
        <v>0</v>
      </c>
      <c r="D198" s="293"/>
      <c r="E198" s="287">
        <f t="shared" si="27"/>
        <v>0</v>
      </c>
      <c r="F198" s="280">
        <f t="shared" si="31"/>
        <v>0</v>
      </c>
      <c r="G198" s="288"/>
      <c r="H198" s="288"/>
      <c r="I198" s="288">
        <f>E198*0.04</f>
        <v>0</v>
      </c>
      <c r="J198" s="288"/>
      <c r="K198" s="288"/>
      <c r="L198" s="288">
        <f t="shared" si="28"/>
        <v>0</v>
      </c>
      <c r="M198" s="288"/>
      <c r="N198" s="289" t="e">
        <f t="shared" si="32"/>
        <v>#DIV/0!</v>
      </c>
      <c r="O198" s="287">
        <f t="shared" si="36"/>
        <v>0</v>
      </c>
      <c r="P198" s="288"/>
      <c r="Q198" s="288">
        <f t="shared" si="25"/>
        <v>0</v>
      </c>
      <c r="R198" s="341">
        <f t="shared" si="33"/>
        <v>0</v>
      </c>
      <c r="S198" s="287"/>
      <c r="T198" s="287"/>
      <c r="U198" s="279">
        <f t="shared" si="34"/>
        <v>0</v>
      </c>
      <c r="V198" s="290"/>
      <c r="W198" s="290"/>
      <c r="X198" s="291">
        <v>1.5503199999999999</v>
      </c>
    </row>
    <row r="199" spans="1:24" ht="31.35" customHeight="1">
      <c r="A199" s="283">
        <f t="shared" si="29"/>
        <v>186</v>
      </c>
      <c r="B199" s="295" t="s">
        <v>78</v>
      </c>
      <c r="C199" s="292">
        <v>0.5</v>
      </c>
      <c r="D199" s="293"/>
      <c r="E199" s="287">
        <f t="shared" si="27"/>
        <v>15.595509514716689</v>
      </c>
      <c r="F199" s="280">
        <f t="shared" si="31"/>
        <v>3.9527527751845568</v>
      </c>
      <c r="G199" s="288"/>
      <c r="H199" s="288"/>
      <c r="I199" s="288">
        <f t="shared" si="30"/>
        <v>1.8714611417660025</v>
      </c>
      <c r="J199" s="288"/>
      <c r="K199" s="288"/>
      <c r="L199" s="288">
        <f t="shared" si="28"/>
        <v>2.0812916334185543</v>
      </c>
      <c r="M199" s="288"/>
      <c r="N199" s="289">
        <f t="shared" si="32"/>
        <v>0.16799999999999998</v>
      </c>
      <c r="O199" s="287">
        <f t="shared" si="36"/>
        <v>2.6200455984724034</v>
      </c>
      <c r="P199" s="288"/>
      <c r="Q199" s="288">
        <f t="shared" si="25"/>
        <v>0.64800000000000002</v>
      </c>
      <c r="R199" s="341">
        <f t="shared" si="33"/>
        <v>0</v>
      </c>
      <c r="S199" s="287"/>
      <c r="T199" s="287"/>
      <c r="U199" s="279">
        <f t="shared" si="34"/>
        <v>22.816307888373647</v>
      </c>
      <c r="V199" s="290"/>
      <c r="W199" s="290"/>
      <c r="X199" s="291">
        <v>1.5503199999999999</v>
      </c>
    </row>
    <row r="200" spans="1:24" ht="31.35" customHeight="1">
      <c r="A200" s="283">
        <f t="shared" si="29"/>
        <v>187</v>
      </c>
      <c r="B200" s="295" t="s">
        <v>79</v>
      </c>
      <c r="C200" s="292">
        <v>5</v>
      </c>
      <c r="D200" s="293"/>
      <c r="E200" s="287">
        <f t="shared" si="27"/>
        <v>155.9550951471669</v>
      </c>
      <c r="F200" s="280">
        <f t="shared" si="31"/>
        <v>69.749180363614343</v>
      </c>
      <c r="G200" s="288">
        <f>E200/2003*60*12*0.4</f>
        <v>22.42389785441042</v>
      </c>
      <c r="H200" s="288"/>
      <c r="I200" s="288">
        <f t="shared" si="30"/>
        <v>18.714611417660027</v>
      </c>
      <c r="J200" s="288"/>
      <c r="K200" s="288">
        <f>E200/C200*0.25</f>
        <v>7.7977547573583452</v>
      </c>
      <c r="L200" s="288">
        <f t="shared" si="28"/>
        <v>20.812916334185548</v>
      </c>
      <c r="M200" s="288"/>
      <c r="N200" s="289">
        <f t="shared" si="32"/>
        <v>0.1895676485272092</v>
      </c>
      <c r="O200" s="287">
        <f t="shared" si="36"/>
        <v>29.564040662885603</v>
      </c>
      <c r="P200" s="288"/>
      <c r="Q200" s="288">
        <f t="shared" si="25"/>
        <v>6.48</v>
      </c>
      <c r="R200" s="341">
        <f t="shared" si="33"/>
        <v>0</v>
      </c>
      <c r="S200" s="287"/>
      <c r="T200" s="287"/>
      <c r="U200" s="279">
        <f t="shared" si="34"/>
        <v>261.74831617366686</v>
      </c>
      <c r="V200" s="290"/>
      <c r="W200" s="290"/>
      <c r="X200" s="291">
        <v>1.5503199999999999</v>
      </c>
    </row>
    <row r="201" spans="1:24" ht="15.75">
      <c r="A201" s="283">
        <f t="shared" si="29"/>
        <v>188</v>
      </c>
      <c r="B201" s="513" t="s">
        <v>80</v>
      </c>
      <c r="C201" s="292">
        <v>1</v>
      </c>
      <c r="D201" s="293"/>
      <c r="E201" s="287">
        <f t="shared" si="27"/>
        <v>78.162643150671272</v>
      </c>
      <c r="F201" s="280">
        <f t="shared" si="31"/>
        <v>19.810677191279225</v>
      </c>
      <c r="G201" s="288"/>
      <c r="H201" s="288"/>
      <c r="I201" s="288">
        <f t="shared" si="30"/>
        <v>9.3795171780805529</v>
      </c>
      <c r="J201" s="288"/>
      <c r="K201" s="288"/>
      <c r="L201" s="288">
        <f t="shared" si="28"/>
        <v>10.431160013198674</v>
      </c>
      <c r="M201" s="288"/>
      <c r="N201" s="289">
        <f t="shared" si="32"/>
        <v>0.224</v>
      </c>
      <c r="O201" s="287">
        <f>(E201+G201+H201+I201+J201)*0.2</f>
        <v>17.508432065750366</v>
      </c>
      <c r="P201" s="288"/>
      <c r="Q201" s="288">
        <f t="shared" si="25"/>
        <v>1.296</v>
      </c>
      <c r="R201" s="341">
        <f t="shared" si="33"/>
        <v>0</v>
      </c>
      <c r="S201" s="287"/>
      <c r="T201" s="287"/>
      <c r="U201" s="279">
        <f t="shared" si="34"/>
        <v>116.77775240770087</v>
      </c>
      <c r="V201" s="327" t="s">
        <v>439</v>
      </c>
      <c r="W201" s="290"/>
      <c r="X201" s="291">
        <v>3.8849999999999998</v>
      </c>
    </row>
    <row r="202" spans="1:24" ht="15.75">
      <c r="A202" s="283">
        <f t="shared" si="29"/>
        <v>189</v>
      </c>
      <c r="B202" s="284" t="s">
        <v>81</v>
      </c>
      <c r="C202" s="292">
        <v>1</v>
      </c>
      <c r="D202" s="293"/>
      <c r="E202" s="287">
        <f t="shared" si="27"/>
        <v>55.528673126345623</v>
      </c>
      <c r="F202" s="280">
        <f t="shared" si="31"/>
        <v>14.073994606931961</v>
      </c>
      <c r="G202" s="288"/>
      <c r="H202" s="288"/>
      <c r="I202" s="288">
        <f t="shared" si="30"/>
        <v>6.6634407751614741</v>
      </c>
      <c r="J202" s="288"/>
      <c r="K202" s="288"/>
      <c r="L202" s="288">
        <f t="shared" si="28"/>
        <v>7.4105538317704882</v>
      </c>
      <c r="M202" s="288"/>
      <c r="N202" s="289">
        <f t="shared" si="32"/>
        <v>0.22400000000000003</v>
      </c>
      <c r="O202" s="287">
        <f>(E202+G202+H202+I202+J202)*0.2</f>
        <v>12.438422780301421</v>
      </c>
      <c r="P202" s="288"/>
      <c r="Q202" s="288">
        <f t="shared" si="25"/>
        <v>1.296</v>
      </c>
      <c r="R202" s="341">
        <f t="shared" si="33"/>
        <v>0</v>
      </c>
      <c r="S202" s="287"/>
      <c r="T202" s="287"/>
      <c r="U202" s="279">
        <f t="shared" si="34"/>
        <v>83.337090513579014</v>
      </c>
      <c r="V202" s="328" t="s">
        <v>440</v>
      </c>
      <c r="W202" s="290"/>
      <c r="X202" s="291">
        <v>2.76</v>
      </c>
    </row>
    <row r="203" spans="1:24" ht="15.75">
      <c r="A203" s="283">
        <f t="shared" si="29"/>
        <v>190</v>
      </c>
      <c r="B203" s="300" t="s">
        <v>82</v>
      </c>
      <c r="C203" s="292">
        <v>1</v>
      </c>
      <c r="D203" s="293"/>
      <c r="E203" s="287">
        <f t="shared" si="27"/>
        <v>61.966780155487143</v>
      </c>
      <c r="F203" s="280">
        <f t="shared" si="31"/>
        <v>15.705762097590741</v>
      </c>
      <c r="G203" s="288"/>
      <c r="H203" s="288"/>
      <c r="I203" s="288">
        <f t="shared" si="30"/>
        <v>7.4360136186584569</v>
      </c>
      <c r="J203" s="288"/>
      <c r="K203" s="288"/>
      <c r="L203" s="288">
        <f t="shared" si="28"/>
        <v>8.2697484789322839</v>
      </c>
      <c r="M203" s="288"/>
      <c r="N203" s="289">
        <f t="shared" si="32"/>
        <v>0.22400000000000003</v>
      </c>
      <c r="O203" s="287">
        <f>(E203+G203+H203+I203+J203)*0.2</f>
        <v>13.880558754829122</v>
      </c>
      <c r="P203" s="288"/>
      <c r="Q203" s="288">
        <f t="shared" si="25"/>
        <v>1.296</v>
      </c>
      <c r="R203" s="341">
        <f t="shared" si="33"/>
        <v>0</v>
      </c>
      <c r="S203" s="287"/>
      <c r="T203" s="287"/>
      <c r="U203" s="279">
        <f t="shared" si="34"/>
        <v>92.849101007907009</v>
      </c>
      <c r="V203" s="328" t="s">
        <v>440</v>
      </c>
      <c r="W203" s="290"/>
      <c r="X203" s="291">
        <v>3.08</v>
      </c>
    </row>
    <row r="204" spans="1:24" ht="31.5">
      <c r="A204" s="283">
        <f t="shared" si="29"/>
        <v>191</v>
      </c>
      <c r="B204" s="301" t="s">
        <v>83</v>
      </c>
      <c r="C204" s="292">
        <v>1</v>
      </c>
      <c r="D204" s="293"/>
      <c r="E204" s="287">
        <f t="shared" si="27"/>
        <v>44.476052884066917</v>
      </c>
      <c r="F204" s="280">
        <f t="shared" si="31"/>
        <v>11.272657767343507</v>
      </c>
      <c r="G204" s="288"/>
      <c r="H204" s="288"/>
      <c r="I204" s="288">
        <f t="shared" si="30"/>
        <v>5.3371263460880298</v>
      </c>
      <c r="J204" s="288"/>
      <c r="K204" s="288"/>
      <c r="L204" s="288">
        <f t="shared" si="28"/>
        <v>5.9355314212554759</v>
      </c>
      <c r="M204" s="288"/>
      <c r="N204" s="289">
        <f t="shared" si="32"/>
        <v>0.16799999999999998</v>
      </c>
      <c r="O204" s="287">
        <f t="shared" ref="O204:O209" si="37">(E204+G204+H204+I204+J204)*0.15</f>
        <v>7.471976884523241</v>
      </c>
      <c r="P204" s="288"/>
      <c r="Q204" s="288">
        <f t="shared" si="25"/>
        <v>1.296</v>
      </c>
      <c r="R204" s="341">
        <f t="shared" si="33"/>
        <v>0</v>
      </c>
      <c r="S204" s="287"/>
      <c r="T204" s="287"/>
      <c r="U204" s="279">
        <f t="shared" si="34"/>
        <v>64.51668753593367</v>
      </c>
      <c r="V204" s="290"/>
      <c r="W204" s="290"/>
      <c r="X204" s="291">
        <v>2.2106400000000002</v>
      </c>
    </row>
    <row r="205" spans="1:24" ht="15.75">
      <c r="A205" s="283">
        <f t="shared" si="29"/>
        <v>192</v>
      </c>
      <c r="B205" s="301" t="s">
        <v>84</v>
      </c>
      <c r="C205" s="292">
        <v>1</v>
      </c>
      <c r="D205" s="293"/>
      <c r="E205" s="287">
        <f t="shared" si="27"/>
        <v>51.98489758849253</v>
      </c>
      <c r="F205" s="280">
        <f t="shared" si="31"/>
        <v>13.175808588792469</v>
      </c>
      <c r="G205" s="288"/>
      <c r="H205" s="288"/>
      <c r="I205" s="288">
        <f t="shared" si="30"/>
        <v>6.238187710619103</v>
      </c>
      <c r="J205" s="288"/>
      <c r="K205" s="288"/>
      <c r="L205" s="288">
        <f t="shared" si="28"/>
        <v>6.9376208781733659</v>
      </c>
      <c r="M205" s="288"/>
      <c r="N205" s="289">
        <f t="shared" si="32"/>
        <v>0.16799999999999998</v>
      </c>
      <c r="O205" s="287">
        <f t="shared" si="37"/>
        <v>8.7334627948667443</v>
      </c>
      <c r="P205" s="288"/>
      <c r="Q205" s="288">
        <f t="shared" si="25"/>
        <v>1.296</v>
      </c>
      <c r="R205" s="341">
        <f t="shared" si="33"/>
        <v>0</v>
      </c>
      <c r="S205" s="287"/>
      <c r="T205" s="287"/>
      <c r="U205" s="279">
        <f t="shared" si="34"/>
        <v>75.190168972151739</v>
      </c>
      <c r="V205" s="290"/>
      <c r="W205" s="290"/>
      <c r="X205" s="291">
        <v>2.58386</v>
      </c>
    </row>
    <row r="206" spans="1:24" ht="15.75">
      <c r="A206" s="283">
        <f t="shared" si="29"/>
        <v>193</v>
      </c>
      <c r="B206" s="295" t="s">
        <v>85</v>
      </c>
      <c r="C206" s="292">
        <v>1</v>
      </c>
      <c r="D206" s="293"/>
      <c r="E206" s="287">
        <f t="shared" si="27"/>
        <v>44.476052884066917</v>
      </c>
      <c r="F206" s="280">
        <f t="shared" si="31"/>
        <v>11.272657767343507</v>
      </c>
      <c r="G206" s="288"/>
      <c r="H206" s="288"/>
      <c r="I206" s="288">
        <f t="shared" si="30"/>
        <v>5.3371263460880298</v>
      </c>
      <c r="J206" s="288"/>
      <c r="K206" s="288"/>
      <c r="L206" s="288">
        <f t="shared" si="28"/>
        <v>5.9355314212554759</v>
      </c>
      <c r="M206" s="288"/>
      <c r="N206" s="289">
        <f>O206/E206</f>
        <v>0.16799999999999998</v>
      </c>
      <c r="O206" s="287">
        <f t="shared" si="37"/>
        <v>7.471976884523241</v>
      </c>
      <c r="P206" s="288"/>
      <c r="Q206" s="288">
        <f t="shared" ref="Q206:Q269" si="38">0.216*6*C206</f>
        <v>1.296</v>
      </c>
      <c r="R206" s="341">
        <f t="shared" si="33"/>
        <v>0</v>
      </c>
      <c r="S206" s="287"/>
      <c r="T206" s="287"/>
      <c r="U206" s="279">
        <f t="shared" si="34"/>
        <v>64.51668753593367</v>
      </c>
      <c r="V206" s="290"/>
      <c r="W206" s="290"/>
      <c r="X206" s="291">
        <v>2.2106400000000002</v>
      </c>
    </row>
    <row r="207" spans="1:24" ht="15.75">
      <c r="A207" s="283">
        <f t="shared" si="29"/>
        <v>194</v>
      </c>
      <c r="B207" s="295" t="s">
        <v>86</v>
      </c>
      <c r="C207" s="292">
        <v>1</v>
      </c>
      <c r="D207" s="293"/>
      <c r="E207" s="287">
        <f t="shared" ref="E207:E270" si="39">X207*11*(C207-D207)*1.063*1.13045*1.1611*1.0487*1.25</f>
        <v>38.988773786791725</v>
      </c>
      <c r="F207" s="280">
        <f t="shared" si="31"/>
        <v>9.8818819379613938</v>
      </c>
      <c r="G207" s="288"/>
      <c r="H207" s="288"/>
      <c r="I207" s="288">
        <f t="shared" si="30"/>
        <v>4.6786528544150068</v>
      </c>
      <c r="J207" s="288"/>
      <c r="K207" s="288"/>
      <c r="L207" s="288">
        <f t="shared" ref="L207:L270" si="40">E207/11*1.468</f>
        <v>5.203229083546387</v>
      </c>
      <c r="M207" s="288"/>
      <c r="N207" s="289">
        <f t="shared" si="32"/>
        <v>0.16799999999999998</v>
      </c>
      <c r="O207" s="287">
        <f t="shared" si="37"/>
        <v>6.5501139961810093</v>
      </c>
      <c r="P207" s="288"/>
      <c r="Q207" s="288">
        <f t="shared" si="38"/>
        <v>1.296</v>
      </c>
      <c r="R207" s="341">
        <f t="shared" si="33"/>
        <v>0</v>
      </c>
      <c r="S207" s="287"/>
      <c r="T207" s="287"/>
      <c r="U207" s="279">
        <f t="shared" si="34"/>
        <v>56.716769720934131</v>
      </c>
      <c r="V207" s="290"/>
      <c r="W207" s="290"/>
      <c r="X207" s="291">
        <v>1.9379</v>
      </c>
    </row>
    <row r="208" spans="1:24" ht="15.75">
      <c r="A208" s="283">
        <f t="shared" si="29"/>
        <v>195</v>
      </c>
      <c r="B208" s="301" t="s">
        <v>87</v>
      </c>
      <c r="C208" s="292">
        <v>0</v>
      </c>
      <c r="D208" s="293"/>
      <c r="E208" s="287">
        <f t="shared" si="39"/>
        <v>0</v>
      </c>
      <c r="F208" s="280">
        <f t="shared" si="31"/>
        <v>0</v>
      </c>
      <c r="G208" s="288"/>
      <c r="H208" s="288"/>
      <c r="I208" s="288">
        <f t="shared" si="30"/>
        <v>0</v>
      </c>
      <c r="J208" s="288"/>
      <c r="K208" s="288"/>
      <c r="L208" s="288">
        <f t="shared" si="40"/>
        <v>0</v>
      </c>
      <c r="M208" s="288"/>
      <c r="N208" s="289" t="e">
        <f t="shared" si="32"/>
        <v>#DIV/0!</v>
      </c>
      <c r="O208" s="287">
        <f t="shared" si="37"/>
        <v>0</v>
      </c>
      <c r="P208" s="288"/>
      <c r="Q208" s="288">
        <f t="shared" si="38"/>
        <v>0</v>
      </c>
      <c r="R208" s="341">
        <f t="shared" si="33"/>
        <v>0</v>
      </c>
      <c r="S208" s="287"/>
      <c r="T208" s="287"/>
      <c r="U208" s="279">
        <f t="shared" si="34"/>
        <v>0</v>
      </c>
      <c r="V208" s="290"/>
      <c r="W208" s="290"/>
      <c r="X208" s="291">
        <v>1.72258</v>
      </c>
    </row>
    <row r="209" spans="1:24" ht="15.75">
      <c r="A209" s="283">
        <f t="shared" si="29"/>
        <v>196</v>
      </c>
      <c r="B209" s="301" t="s">
        <v>88</v>
      </c>
      <c r="C209" s="292">
        <v>1</v>
      </c>
      <c r="D209" s="293"/>
      <c r="E209" s="287">
        <f t="shared" si="39"/>
        <v>31.191019029433377</v>
      </c>
      <c r="F209" s="280">
        <f t="shared" si="31"/>
        <v>7.9055055503691136</v>
      </c>
      <c r="G209" s="288"/>
      <c r="H209" s="288"/>
      <c r="I209" s="288">
        <f t="shared" si="30"/>
        <v>3.7429222835320051</v>
      </c>
      <c r="J209" s="288"/>
      <c r="K209" s="288"/>
      <c r="L209" s="288">
        <f t="shared" si="40"/>
        <v>4.1625832668371086</v>
      </c>
      <c r="M209" s="288"/>
      <c r="N209" s="289">
        <f t="shared" si="32"/>
        <v>0.16799999999999998</v>
      </c>
      <c r="O209" s="287">
        <f t="shared" si="37"/>
        <v>5.2400911969448067</v>
      </c>
      <c r="P209" s="288"/>
      <c r="Q209" s="288">
        <f t="shared" si="38"/>
        <v>1.296</v>
      </c>
      <c r="R209" s="341">
        <f t="shared" si="33"/>
        <v>0</v>
      </c>
      <c r="S209" s="287"/>
      <c r="T209" s="287"/>
      <c r="U209" s="279">
        <f t="shared" si="34"/>
        <v>45.632615776747294</v>
      </c>
      <c r="V209" s="290"/>
      <c r="W209" s="290"/>
      <c r="X209" s="291">
        <v>1.5503199999999999</v>
      </c>
    </row>
    <row r="210" spans="1:24" ht="15.75">
      <c r="A210" s="283">
        <f t="shared" si="29"/>
        <v>197</v>
      </c>
      <c r="B210" s="300" t="s">
        <v>89</v>
      </c>
      <c r="C210" s="292">
        <v>1</v>
      </c>
      <c r="D210" s="293"/>
      <c r="E210" s="287">
        <f t="shared" si="39"/>
        <v>61.966780155487143</v>
      </c>
      <c r="F210" s="280">
        <f t="shared" si="31"/>
        <v>15.705762097590741</v>
      </c>
      <c r="G210" s="288"/>
      <c r="H210" s="288"/>
      <c r="I210" s="288">
        <f t="shared" si="30"/>
        <v>7.4360136186584569</v>
      </c>
      <c r="J210" s="288"/>
      <c r="K210" s="288"/>
      <c r="L210" s="288">
        <f t="shared" si="40"/>
        <v>8.2697484789322839</v>
      </c>
      <c r="M210" s="288"/>
      <c r="N210" s="289">
        <f t="shared" si="32"/>
        <v>0.22400000000000003</v>
      </c>
      <c r="O210" s="287">
        <f>(E210+G210+H210+I210+J210)*0.2</f>
        <v>13.880558754829122</v>
      </c>
      <c r="P210" s="288"/>
      <c r="Q210" s="288">
        <f t="shared" si="38"/>
        <v>1.296</v>
      </c>
      <c r="R210" s="341">
        <f t="shared" si="33"/>
        <v>0</v>
      </c>
      <c r="S210" s="287"/>
      <c r="T210" s="287"/>
      <c r="U210" s="279">
        <f t="shared" si="34"/>
        <v>92.849101007907009</v>
      </c>
      <c r="V210" s="328" t="s">
        <v>440</v>
      </c>
      <c r="W210" s="290"/>
      <c r="X210" s="291">
        <v>3.08</v>
      </c>
    </row>
    <row r="211" spans="1:24" ht="31.5">
      <c r="A211" s="283">
        <f t="shared" si="29"/>
        <v>198</v>
      </c>
      <c r="B211" s="301" t="s">
        <v>90</v>
      </c>
      <c r="C211" s="292">
        <v>1</v>
      </c>
      <c r="D211" s="293"/>
      <c r="E211" s="287">
        <f t="shared" si="39"/>
        <v>38.988773786791725</v>
      </c>
      <c r="F211" s="280">
        <f t="shared" si="31"/>
        <v>9.8818819379613938</v>
      </c>
      <c r="G211" s="288"/>
      <c r="H211" s="288"/>
      <c r="I211" s="288">
        <f t="shared" si="30"/>
        <v>4.6786528544150068</v>
      </c>
      <c r="J211" s="288"/>
      <c r="K211" s="288"/>
      <c r="L211" s="288">
        <f t="shared" si="40"/>
        <v>5.203229083546387</v>
      </c>
      <c r="M211" s="288"/>
      <c r="N211" s="289">
        <f t="shared" si="32"/>
        <v>0.16799999999999998</v>
      </c>
      <c r="O211" s="287">
        <f>(E211+G211+H211+I211+J211)*0.15</f>
        <v>6.5501139961810093</v>
      </c>
      <c r="P211" s="288"/>
      <c r="Q211" s="288">
        <f t="shared" si="38"/>
        <v>1.296</v>
      </c>
      <c r="R211" s="341">
        <f t="shared" si="33"/>
        <v>0</v>
      </c>
      <c r="S211" s="287"/>
      <c r="T211" s="287"/>
      <c r="U211" s="279">
        <f t="shared" si="34"/>
        <v>56.716769720934131</v>
      </c>
      <c r="V211" s="290"/>
      <c r="W211" s="290"/>
      <c r="X211" s="291">
        <v>1.9379</v>
      </c>
    </row>
    <row r="212" spans="1:24" ht="17.25" customHeight="1">
      <c r="A212" s="283">
        <f t="shared" si="29"/>
        <v>199</v>
      </c>
      <c r="B212" s="301" t="s">
        <v>88</v>
      </c>
      <c r="C212" s="292">
        <v>1</v>
      </c>
      <c r="D212" s="293"/>
      <c r="E212" s="287">
        <f t="shared" si="39"/>
        <v>31.191019029433377</v>
      </c>
      <c r="F212" s="280">
        <f t="shared" si="31"/>
        <v>7.9055055503691136</v>
      </c>
      <c r="G212" s="288"/>
      <c r="H212" s="288"/>
      <c r="I212" s="288">
        <f t="shared" si="30"/>
        <v>3.7429222835320051</v>
      </c>
      <c r="J212" s="288"/>
      <c r="K212" s="288"/>
      <c r="L212" s="288">
        <f t="shared" si="40"/>
        <v>4.1625832668371086</v>
      </c>
      <c r="M212" s="288"/>
      <c r="N212" s="289">
        <f t="shared" si="32"/>
        <v>0.16799999999999998</v>
      </c>
      <c r="O212" s="287">
        <f>(E212+G212+H212+I212+J212)*0.15</f>
        <v>5.2400911969448067</v>
      </c>
      <c r="P212" s="288"/>
      <c r="Q212" s="288">
        <f t="shared" si="38"/>
        <v>1.296</v>
      </c>
      <c r="R212" s="341">
        <f t="shared" si="33"/>
        <v>0</v>
      </c>
      <c r="S212" s="287"/>
      <c r="T212" s="287"/>
      <c r="U212" s="279">
        <f t="shared" si="34"/>
        <v>45.632615776747294</v>
      </c>
      <c r="V212" s="290"/>
      <c r="W212" s="290"/>
      <c r="X212" s="291">
        <v>1.5503199999999999</v>
      </c>
    </row>
    <row r="213" spans="1:24" ht="15.75">
      <c r="A213" s="283">
        <f t="shared" si="29"/>
        <v>200</v>
      </c>
      <c r="B213" s="301" t="s">
        <v>86</v>
      </c>
      <c r="C213" s="292">
        <v>1</v>
      </c>
      <c r="D213" s="293"/>
      <c r="E213" s="287">
        <f t="shared" si="39"/>
        <v>38.988773786791725</v>
      </c>
      <c r="F213" s="280">
        <f t="shared" si="31"/>
        <v>9.8818819379613938</v>
      </c>
      <c r="G213" s="288"/>
      <c r="H213" s="288"/>
      <c r="I213" s="288">
        <f t="shared" si="30"/>
        <v>4.6786528544150068</v>
      </c>
      <c r="J213" s="288"/>
      <c r="K213" s="288"/>
      <c r="L213" s="288">
        <f t="shared" si="40"/>
        <v>5.203229083546387</v>
      </c>
      <c r="M213" s="288"/>
      <c r="N213" s="289">
        <f t="shared" si="32"/>
        <v>0.16799999999999998</v>
      </c>
      <c r="O213" s="287">
        <f>(E213+G213+H213+I213+J213)*0.15</f>
        <v>6.5501139961810093</v>
      </c>
      <c r="P213" s="288"/>
      <c r="Q213" s="288">
        <f t="shared" si="38"/>
        <v>1.296</v>
      </c>
      <c r="R213" s="341">
        <f t="shared" si="33"/>
        <v>0</v>
      </c>
      <c r="S213" s="287"/>
      <c r="T213" s="287"/>
      <c r="U213" s="279">
        <f t="shared" si="34"/>
        <v>56.716769720934131</v>
      </c>
      <c r="V213" s="290"/>
      <c r="W213" s="290"/>
      <c r="X213" s="291">
        <v>1.9379</v>
      </c>
    </row>
    <row r="214" spans="1:24" ht="15.75">
      <c r="A214" s="283">
        <f t="shared" ref="A214:A279" si="41">A213+1</f>
        <v>201</v>
      </c>
      <c r="B214" s="300" t="s">
        <v>91</v>
      </c>
      <c r="C214" s="292">
        <v>1</v>
      </c>
      <c r="D214" s="293"/>
      <c r="E214" s="287">
        <f t="shared" si="39"/>
        <v>55.528673126345623</v>
      </c>
      <c r="F214" s="280">
        <f t="shared" si="31"/>
        <v>14.073994606931961</v>
      </c>
      <c r="G214" s="288"/>
      <c r="H214" s="288"/>
      <c r="I214" s="288">
        <f t="shared" si="30"/>
        <v>6.6634407751614741</v>
      </c>
      <c r="J214" s="288"/>
      <c r="K214" s="288"/>
      <c r="L214" s="288">
        <f t="shared" si="40"/>
        <v>7.4105538317704882</v>
      </c>
      <c r="M214" s="288"/>
      <c r="N214" s="289">
        <f t="shared" si="32"/>
        <v>0.22400000000000003</v>
      </c>
      <c r="O214" s="287">
        <f>(E214+G214+H214+I214+J214)*0.2</f>
        <v>12.438422780301421</v>
      </c>
      <c r="P214" s="288"/>
      <c r="Q214" s="288">
        <f t="shared" si="38"/>
        <v>1.296</v>
      </c>
      <c r="R214" s="341">
        <f t="shared" si="33"/>
        <v>0</v>
      </c>
      <c r="S214" s="287"/>
      <c r="T214" s="287"/>
      <c r="U214" s="279">
        <f t="shared" si="34"/>
        <v>83.337090513579014</v>
      </c>
      <c r="V214" s="328" t="s">
        <v>440</v>
      </c>
      <c r="W214" s="290"/>
      <c r="X214" s="291">
        <v>2.76</v>
      </c>
    </row>
    <row r="215" spans="1:24" ht="15.75">
      <c r="A215" s="283">
        <f t="shared" si="41"/>
        <v>202</v>
      </c>
      <c r="B215" s="301" t="s">
        <v>86</v>
      </c>
      <c r="C215" s="292">
        <v>1</v>
      </c>
      <c r="D215" s="293"/>
      <c r="E215" s="287">
        <f t="shared" si="39"/>
        <v>38.988773786791725</v>
      </c>
      <c r="F215" s="280">
        <f t="shared" si="31"/>
        <v>9.8818819379613938</v>
      </c>
      <c r="G215" s="288"/>
      <c r="H215" s="288"/>
      <c r="I215" s="288">
        <f>E215*0.12</f>
        <v>4.6786528544150068</v>
      </c>
      <c r="J215" s="288"/>
      <c r="K215" s="288"/>
      <c r="L215" s="288">
        <f t="shared" si="40"/>
        <v>5.203229083546387</v>
      </c>
      <c r="M215" s="288"/>
      <c r="N215" s="289">
        <f t="shared" si="32"/>
        <v>0.16799999999999998</v>
      </c>
      <c r="O215" s="287">
        <f>(E215+G215+H215+I215+J215)*0.15</f>
        <v>6.5501139961810093</v>
      </c>
      <c r="P215" s="288"/>
      <c r="Q215" s="288">
        <f t="shared" si="38"/>
        <v>1.296</v>
      </c>
      <c r="R215" s="341">
        <f t="shared" si="33"/>
        <v>0</v>
      </c>
      <c r="S215" s="287"/>
      <c r="T215" s="287"/>
      <c r="U215" s="279">
        <f t="shared" si="34"/>
        <v>56.716769720934131</v>
      </c>
      <c r="V215" s="290"/>
      <c r="W215" s="290"/>
      <c r="X215" s="291">
        <v>1.9379</v>
      </c>
    </row>
    <row r="216" spans="1:24" ht="15.75">
      <c r="A216" s="283">
        <f t="shared" si="41"/>
        <v>203</v>
      </c>
      <c r="B216" s="301" t="s">
        <v>88</v>
      </c>
      <c r="C216" s="292">
        <v>1</v>
      </c>
      <c r="D216" s="293"/>
      <c r="E216" s="287">
        <f t="shared" si="39"/>
        <v>31.191019029433377</v>
      </c>
      <c r="F216" s="280">
        <f t="shared" si="31"/>
        <v>7.9055055503691136</v>
      </c>
      <c r="G216" s="288"/>
      <c r="H216" s="288"/>
      <c r="I216" s="288">
        <f>E216*0.12</f>
        <v>3.7429222835320051</v>
      </c>
      <c r="J216" s="288"/>
      <c r="K216" s="288"/>
      <c r="L216" s="288">
        <f t="shared" si="40"/>
        <v>4.1625832668371086</v>
      </c>
      <c r="M216" s="288"/>
      <c r="N216" s="289">
        <f t="shared" si="32"/>
        <v>0.16799999999999998</v>
      </c>
      <c r="O216" s="287">
        <f>(E216+G216+H216+I216+J216)*0.15</f>
        <v>5.2400911969448067</v>
      </c>
      <c r="P216" s="288"/>
      <c r="Q216" s="288">
        <f t="shared" si="38"/>
        <v>1.296</v>
      </c>
      <c r="R216" s="341">
        <f t="shared" si="33"/>
        <v>0</v>
      </c>
      <c r="S216" s="287"/>
      <c r="T216" s="287"/>
      <c r="U216" s="279">
        <f t="shared" si="34"/>
        <v>45.632615776747294</v>
      </c>
      <c r="V216" s="290"/>
      <c r="W216" s="290"/>
      <c r="X216" s="291">
        <v>1.5503199999999999</v>
      </c>
    </row>
    <row r="217" spans="1:24" ht="31.5">
      <c r="A217" s="283">
        <f t="shared" si="41"/>
        <v>204</v>
      </c>
      <c r="B217" s="301" t="s">
        <v>92</v>
      </c>
      <c r="C217" s="292">
        <v>1</v>
      </c>
      <c r="D217" s="293"/>
      <c r="E217" s="287">
        <f t="shared" si="39"/>
        <v>31.191019029433377</v>
      </c>
      <c r="F217" s="280">
        <f t="shared" si="31"/>
        <v>5.4102240280144436</v>
      </c>
      <c r="G217" s="288"/>
      <c r="H217" s="288"/>
      <c r="I217" s="288">
        <f>E217*0.04</f>
        <v>1.247640761177335</v>
      </c>
      <c r="J217" s="288"/>
      <c r="K217" s="288"/>
      <c r="L217" s="288">
        <f t="shared" si="40"/>
        <v>4.1625832668371086</v>
      </c>
      <c r="M217" s="288"/>
      <c r="N217" s="289">
        <f t="shared" si="32"/>
        <v>0.156</v>
      </c>
      <c r="O217" s="287">
        <f>(E217+G217+H217+I217+J217)*0.15</f>
        <v>4.8657989685916068</v>
      </c>
      <c r="P217" s="288"/>
      <c r="Q217" s="288">
        <f t="shared" si="38"/>
        <v>1.296</v>
      </c>
      <c r="R217" s="341">
        <f t="shared" si="33"/>
        <v>0</v>
      </c>
      <c r="S217" s="287"/>
      <c r="T217" s="287"/>
      <c r="U217" s="279">
        <f t="shared" si="34"/>
        <v>42.763042026039422</v>
      </c>
      <c r="V217" s="290"/>
      <c r="W217" s="290"/>
      <c r="X217" s="291">
        <v>1.5503199999999999</v>
      </c>
    </row>
    <row r="218" spans="1:24" ht="15.75">
      <c r="A218" s="283">
        <f t="shared" si="41"/>
        <v>205</v>
      </c>
      <c r="B218" s="301" t="s">
        <v>93</v>
      </c>
      <c r="C218" s="292">
        <v>1</v>
      </c>
      <c r="D218" s="293"/>
      <c r="E218" s="287">
        <f t="shared" si="39"/>
        <v>51.98489758849253</v>
      </c>
      <c r="F218" s="280">
        <f t="shared" si="31"/>
        <v>13.175808588792469</v>
      </c>
      <c r="G218" s="288"/>
      <c r="H218" s="288"/>
      <c r="I218" s="288">
        <f>E218*0.12</f>
        <v>6.238187710619103</v>
      </c>
      <c r="J218" s="288"/>
      <c r="K218" s="288"/>
      <c r="L218" s="288">
        <f t="shared" si="40"/>
        <v>6.9376208781733659</v>
      </c>
      <c r="M218" s="288"/>
      <c r="N218" s="289">
        <f t="shared" si="32"/>
        <v>0.16799999999999998</v>
      </c>
      <c r="O218" s="287">
        <f>(E218+G218+H218+I218+J218)*0.15</f>
        <v>8.7334627948667443</v>
      </c>
      <c r="P218" s="288"/>
      <c r="Q218" s="288">
        <f t="shared" si="38"/>
        <v>1.296</v>
      </c>
      <c r="R218" s="341">
        <f t="shared" si="33"/>
        <v>0</v>
      </c>
      <c r="S218" s="287"/>
      <c r="T218" s="287"/>
      <c r="U218" s="279">
        <f t="shared" si="34"/>
        <v>75.190168972151739</v>
      </c>
      <c r="V218" s="290"/>
      <c r="W218" s="290"/>
      <c r="X218" s="291">
        <v>2.58386</v>
      </c>
    </row>
    <row r="219" spans="1:24" ht="15.75">
      <c r="A219" s="283">
        <f t="shared" si="41"/>
        <v>206</v>
      </c>
      <c r="B219" s="301" t="s">
        <v>86</v>
      </c>
      <c r="C219" s="292">
        <v>1</v>
      </c>
      <c r="D219" s="293"/>
      <c r="E219" s="287">
        <f t="shared" si="39"/>
        <v>38.988773786791725</v>
      </c>
      <c r="F219" s="280">
        <f t="shared" ref="F219:F289" si="42">SUM(G219:M219)</f>
        <v>9.8818819379613938</v>
      </c>
      <c r="G219" s="288"/>
      <c r="H219" s="288"/>
      <c r="I219" s="288">
        <f>E219*0.12</f>
        <v>4.6786528544150068</v>
      </c>
      <c r="J219" s="288"/>
      <c r="K219" s="288"/>
      <c r="L219" s="288">
        <f t="shared" si="40"/>
        <v>5.203229083546387</v>
      </c>
      <c r="M219" s="288"/>
      <c r="N219" s="289">
        <f t="shared" ref="N219:N289" si="43">O219/E219</f>
        <v>0.16799999999999998</v>
      </c>
      <c r="O219" s="287">
        <f>(E219+G219+H219+I219+J219)*0.15</f>
        <v>6.5501139961810093</v>
      </c>
      <c r="P219" s="288"/>
      <c r="Q219" s="288">
        <f t="shared" si="38"/>
        <v>1.296</v>
      </c>
      <c r="R219" s="341">
        <f t="shared" ref="R219:R265" si="44">SUM(S219:T219)</f>
        <v>0</v>
      </c>
      <c r="S219" s="287"/>
      <c r="T219" s="287"/>
      <c r="U219" s="279">
        <f t="shared" ref="U219:U289" si="45">E219+F219+O219+P219+Q219+R219</f>
        <v>56.716769720934131</v>
      </c>
      <c r="V219" s="290"/>
      <c r="W219" s="290"/>
      <c r="X219" s="291">
        <v>1.9379</v>
      </c>
    </row>
    <row r="220" spans="1:24" ht="15.75">
      <c r="A220" s="283">
        <f t="shared" si="41"/>
        <v>207</v>
      </c>
      <c r="B220" s="514" t="s">
        <v>94</v>
      </c>
      <c r="C220" s="292">
        <v>1</v>
      </c>
      <c r="D220" s="293"/>
      <c r="E220" s="287">
        <f t="shared" si="39"/>
        <v>71.623940699199423</v>
      </c>
      <c r="F220" s="280">
        <f t="shared" si="42"/>
        <v>15.288455705610932</v>
      </c>
      <c r="G220" s="288"/>
      <c r="H220" s="288"/>
      <c r="I220" s="288">
        <f>E220*0.08</f>
        <v>5.7299152559359543</v>
      </c>
      <c r="J220" s="288"/>
      <c r="K220" s="288"/>
      <c r="L220" s="288">
        <f t="shared" si="40"/>
        <v>9.5585404496749771</v>
      </c>
      <c r="M220" s="288"/>
      <c r="N220" s="289">
        <f t="shared" si="43"/>
        <v>0.216</v>
      </c>
      <c r="O220" s="287">
        <f>(E220+G220+H220+I220+J220)*0.2</f>
        <v>15.470771191027076</v>
      </c>
      <c r="P220" s="288"/>
      <c r="Q220" s="288">
        <f t="shared" si="38"/>
        <v>1.296</v>
      </c>
      <c r="R220" s="341">
        <f t="shared" si="44"/>
        <v>0</v>
      </c>
      <c r="S220" s="287"/>
      <c r="T220" s="287"/>
      <c r="U220" s="279">
        <f t="shared" si="45"/>
        <v>103.67916759583743</v>
      </c>
      <c r="V220" s="327" t="s">
        <v>439</v>
      </c>
      <c r="W220" s="290"/>
      <c r="X220" s="291">
        <v>3.56</v>
      </c>
    </row>
    <row r="221" spans="1:24" ht="15.75">
      <c r="A221" s="283">
        <f t="shared" si="41"/>
        <v>208</v>
      </c>
      <c r="B221" s="300" t="s">
        <v>95</v>
      </c>
      <c r="C221" s="292">
        <v>1</v>
      </c>
      <c r="D221" s="293"/>
      <c r="E221" s="287">
        <f t="shared" si="39"/>
        <v>60.659039665192765</v>
      </c>
      <c r="F221" s="280">
        <f t="shared" si="42"/>
        <v>12.947947739442965</v>
      </c>
      <c r="G221" s="288"/>
      <c r="H221" s="288"/>
      <c r="I221" s="288">
        <f>E221*0.08</f>
        <v>4.8527231732154217</v>
      </c>
      <c r="J221" s="288"/>
      <c r="K221" s="288"/>
      <c r="L221" s="288">
        <f t="shared" si="40"/>
        <v>8.0952245662275431</v>
      </c>
      <c r="M221" s="288"/>
      <c r="N221" s="289">
        <f t="shared" si="43"/>
        <v>0.21600000000000003</v>
      </c>
      <c r="O221" s="287">
        <f>(E221+G221+H221+I221+J221)*0.2</f>
        <v>13.102352567681638</v>
      </c>
      <c r="P221" s="288"/>
      <c r="Q221" s="288">
        <f t="shared" si="38"/>
        <v>1.296</v>
      </c>
      <c r="R221" s="341">
        <f t="shared" si="44"/>
        <v>0</v>
      </c>
      <c r="S221" s="287"/>
      <c r="T221" s="287"/>
      <c r="U221" s="279">
        <f t="shared" si="45"/>
        <v>88.005339972317373</v>
      </c>
      <c r="V221" s="327" t="s">
        <v>439</v>
      </c>
      <c r="W221" s="290"/>
      <c r="X221" s="291">
        <v>3.0150000000000001</v>
      </c>
    </row>
    <row r="222" spans="1:24" ht="15.75">
      <c r="A222" s="283">
        <f t="shared" si="41"/>
        <v>209</v>
      </c>
      <c r="B222" s="300" t="s">
        <v>96</v>
      </c>
      <c r="C222" s="292">
        <v>2</v>
      </c>
      <c r="D222" s="293"/>
      <c r="E222" s="287">
        <f t="shared" si="39"/>
        <v>111.05734625269125</v>
      </c>
      <c r="F222" s="280">
        <f t="shared" si="42"/>
        <v>23.705695363756277</v>
      </c>
      <c r="G222" s="288"/>
      <c r="H222" s="288"/>
      <c r="I222" s="288">
        <f>E222*0.08</f>
        <v>8.8845877002153006</v>
      </c>
      <c r="J222" s="288"/>
      <c r="K222" s="288"/>
      <c r="L222" s="288">
        <f t="shared" si="40"/>
        <v>14.821107663540976</v>
      </c>
      <c r="M222" s="288"/>
      <c r="N222" s="289">
        <f t="shared" si="43"/>
        <v>0.21600000000000003</v>
      </c>
      <c r="O222" s="287">
        <f>(E222+G222+H222+I222+J222)*0.2</f>
        <v>23.988386790581313</v>
      </c>
      <c r="P222" s="288"/>
      <c r="Q222" s="288">
        <f t="shared" si="38"/>
        <v>2.5920000000000001</v>
      </c>
      <c r="R222" s="341">
        <f t="shared" si="44"/>
        <v>0</v>
      </c>
      <c r="S222" s="287"/>
      <c r="T222" s="287"/>
      <c r="U222" s="279">
        <f t="shared" si="45"/>
        <v>161.34342840702885</v>
      </c>
      <c r="V222" s="327" t="s">
        <v>439</v>
      </c>
      <c r="W222" s="290"/>
      <c r="X222" s="291">
        <v>2.76</v>
      </c>
    </row>
    <row r="223" spans="1:24" ht="15.75">
      <c r="A223" s="283">
        <f t="shared" si="41"/>
        <v>210</v>
      </c>
      <c r="B223" s="301" t="s">
        <v>1387</v>
      </c>
      <c r="C223" s="292">
        <v>2</v>
      </c>
      <c r="D223" s="293"/>
      <c r="E223" s="287">
        <f t="shared" si="39"/>
        <v>88.952105768133833</v>
      </c>
      <c r="F223" s="280">
        <f t="shared" si="42"/>
        <v>22.545315534687013</v>
      </c>
      <c r="G223" s="288"/>
      <c r="H223" s="288"/>
      <c r="I223" s="288">
        <f>E223*0.12</f>
        <v>10.67425269217606</v>
      </c>
      <c r="J223" s="288"/>
      <c r="K223" s="288"/>
      <c r="L223" s="288">
        <f t="shared" si="40"/>
        <v>11.871062842510952</v>
      </c>
      <c r="M223" s="288"/>
      <c r="N223" s="289">
        <f t="shared" si="43"/>
        <v>0.16799999999999998</v>
      </c>
      <c r="O223" s="287">
        <f>(E223+G223+H223+I223+J223)*0.15</f>
        <v>14.943953769046482</v>
      </c>
      <c r="P223" s="288"/>
      <c r="Q223" s="288">
        <f t="shared" si="38"/>
        <v>2.5920000000000001</v>
      </c>
      <c r="R223" s="341">
        <f t="shared" si="44"/>
        <v>0</v>
      </c>
      <c r="S223" s="287"/>
      <c r="T223" s="287"/>
      <c r="U223" s="279">
        <f t="shared" si="45"/>
        <v>129.03337507186734</v>
      </c>
      <c r="V223" s="290"/>
      <c r="W223" s="290"/>
      <c r="X223" s="291">
        <v>2.2106400000000002</v>
      </c>
    </row>
    <row r="224" spans="1:24" ht="15.75">
      <c r="A224" s="283">
        <f t="shared" si="41"/>
        <v>211</v>
      </c>
      <c r="B224" s="301" t="s">
        <v>97</v>
      </c>
      <c r="C224" s="292">
        <v>5</v>
      </c>
      <c r="D224" s="293"/>
      <c r="E224" s="287">
        <f t="shared" si="39"/>
        <v>173.28366259779068</v>
      </c>
      <c r="F224" s="280">
        <f t="shared" si="42"/>
        <v>61.903659637287916</v>
      </c>
      <c r="G224" s="288">
        <f>E224/2003*60*12*0.4</f>
        <v>24.915474202777691</v>
      </c>
      <c r="H224" s="288"/>
      <c r="I224" s="288">
        <f>E224*0.08</f>
        <v>13.862693007823255</v>
      </c>
      <c r="J224" s="288"/>
      <c r="K224" s="288"/>
      <c r="L224" s="288">
        <f t="shared" si="40"/>
        <v>23.125492426686971</v>
      </c>
      <c r="M224" s="288"/>
      <c r="N224" s="289">
        <f t="shared" si="43"/>
        <v>0.18356764852720917</v>
      </c>
      <c r="O224" s="287">
        <f t="shared" ref="O224:O235" si="46">(E224+G224+H224+I224+J224)*0.15</f>
        <v>31.809274471258743</v>
      </c>
      <c r="P224" s="288"/>
      <c r="Q224" s="288">
        <f t="shared" si="38"/>
        <v>6.48</v>
      </c>
      <c r="R224" s="341">
        <f t="shared" si="44"/>
        <v>0</v>
      </c>
      <c r="S224" s="287"/>
      <c r="T224" s="287"/>
      <c r="U224" s="279">
        <f t="shared" si="45"/>
        <v>273.47659670633738</v>
      </c>
      <c r="V224" s="290"/>
      <c r="W224" s="290"/>
      <c r="X224" s="291">
        <v>1.72258</v>
      </c>
    </row>
    <row r="225" spans="1:24" ht="15.75">
      <c r="A225" s="283">
        <f t="shared" si="41"/>
        <v>212</v>
      </c>
      <c r="B225" s="301" t="s">
        <v>98</v>
      </c>
      <c r="C225" s="292">
        <v>38</v>
      </c>
      <c r="D225" s="293"/>
      <c r="E225" s="287">
        <f t="shared" si="39"/>
        <v>1185.2587231184684</v>
      </c>
      <c r="F225" s="280">
        <f t="shared" si="42"/>
        <v>423.42048568280677</v>
      </c>
      <c r="G225" s="288">
        <f>E225/2003*60*12*0.4</f>
        <v>170.42162369351919</v>
      </c>
      <c r="H225" s="288"/>
      <c r="I225" s="288">
        <f>E225*0.08</f>
        <v>94.820697849477469</v>
      </c>
      <c r="J225" s="288"/>
      <c r="K225" s="288"/>
      <c r="L225" s="288">
        <f t="shared" si="40"/>
        <v>158.17816413981015</v>
      </c>
      <c r="M225" s="288"/>
      <c r="N225" s="289">
        <f t="shared" si="43"/>
        <v>0.18356764852720919</v>
      </c>
      <c r="O225" s="287">
        <f t="shared" si="46"/>
        <v>217.57515669921978</v>
      </c>
      <c r="P225" s="288"/>
      <c r="Q225" s="288">
        <f t="shared" si="38"/>
        <v>49.248000000000005</v>
      </c>
      <c r="R225" s="341">
        <f t="shared" si="44"/>
        <v>0</v>
      </c>
      <c r="S225" s="287"/>
      <c r="T225" s="287"/>
      <c r="U225" s="279">
        <f t="shared" si="45"/>
        <v>1875.5023655004952</v>
      </c>
      <c r="V225" s="290"/>
      <c r="W225" s="290"/>
      <c r="X225" s="291">
        <v>1.5503199999999999</v>
      </c>
    </row>
    <row r="226" spans="1:24" ht="15.75">
      <c r="A226" s="283">
        <f t="shared" si="41"/>
        <v>213</v>
      </c>
      <c r="B226" s="301" t="s">
        <v>99</v>
      </c>
      <c r="C226" s="292">
        <v>33</v>
      </c>
      <c r="D226" s="293"/>
      <c r="E226" s="287">
        <f t="shared" si="39"/>
        <v>1029.3036279713019</v>
      </c>
      <c r="F226" s="280">
        <f t="shared" si="42"/>
        <v>260.88168316218088</v>
      </c>
      <c r="G226" s="288"/>
      <c r="H226" s="288"/>
      <c r="I226" s="288">
        <f>E226*0.12</f>
        <v>123.51643535655623</v>
      </c>
      <c r="J226" s="288"/>
      <c r="K226" s="288"/>
      <c r="L226" s="288">
        <f t="shared" si="40"/>
        <v>137.36524780562465</v>
      </c>
      <c r="M226" s="288"/>
      <c r="N226" s="289">
        <f t="shared" si="43"/>
        <v>0.16800000000000001</v>
      </c>
      <c r="O226" s="287">
        <f t="shared" si="46"/>
        <v>172.92300949917873</v>
      </c>
      <c r="P226" s="288"/>
      <c r="Q226" s="288">
        <f t="shared" si="38"/>
        <v>42.768000000000001</v>
      </c>
      <c r="R226" s="341">
        <f t="shared" si="44"/>
        <v>0</v>
      </c>
      <c r="S226" s="287"/>
      <c r="T226" s="287"/>
      <c r="U226" s="279">
        <f t="shared" si="45"/>
        <v>1505.8763206326616</v>
      </c>
      <c r="V226" s="290"/>
      <c r="W226" s="290"/>
      <c r="X226" s="291">
        <v>1.5503199999999999</v>
      </c>
    </row>
    <row r="227" spans="1:24" ht="15.75">
      <c r="A227" s="283">
        <f t="shared" si="41"/>
        <v>214</v>
      </c>
      <c r="B227" s="301" t="s">
        <v>100</v>
      </c>
      <c r="C227" s="292">
        <v>4</v>
      </c>
      <c r="D227" s="293"/>
      <c r="E227" s="287">
        <f t="shared" si="39"/>
        <v>124.76407611773351</v>
      </c>
      <c r="F227" s="280">
        <f t="shared" si="42"/>
        <v>31.622022201476454</v>
      </c>
      <c r="G227" s="288"/>
      <c r="H227" s="288"/>
      <c r="I227" s="288">
        <f>E227*0.12</f>
        <v>14.97168913412802</v>
      </c>
      <c r="J227" s="288"/>
      <c r="K227" s="288"/>
      <c r="L227" s="288">
        <f t="shared" si="40"/>
        <v>16.650333067348434</v>
      </c>
      <c r="M227" s="288"/>
      <c r="N227" s="289">
        <f t="shared" si="43"/>
        <v>0.16799999999999998</v>
      </c>
      <c r="O227" s="287">
        <f t="shared" si="46"/>
        <v>20.960364787779227</v>
      </c>
      <c r="P227" s="288"/>
      <c r="Q227" s="288">
        <f t="shared" si="38"/>
        <v>5.1840000000000002</v>
      </c>
      <c r="R227" s="341">
        <f t="shared" si="44"/>
        <v>0</v>
      </c>
      <c r="S227" s="287"/>
      <c r="T227" s="287"/>
      <c r="U227" s="279">
        <f t="shared" si="45"/>
        <v>182.53046310698917</v>
      </c>
      <c r="V227" s="290"/>
      <c r="W227" s="290"/>
      <c r="X227" s="291">
        <v>1.5503199999999999</v>
      </c>
    </row>
    <row r="228" spans="1:24" ht="15.75">
      <c r="A228" s="283">
        <f t="shared" si="41"/>
        <v>215</v>
      </c>
      <c r="B228" s="301" t="s">
        <v>68</v>
      </c>
      <c r="C228" s="292">
        <v>3</v>
      </c>
      <c r="D228" s="293"/>
      <c r="E228" s="287">
        <f t="shared" si="39"/>
        <v>93.573057088300132</v>
      </c>
      <c r="F228" s="280">
        <f t="shared" si="42"/>
        <v>23.716516651107341</v>
      </c>
      <c r="G228" s="288"/>
      <c r="H228" s="288"/>
      <c r="I228" s="288">
        <f>E228*0.12</f>
        <v>11.228766850596015</v>
      </c>
      <c r="J228" s="288"/>
      <c r="K228" s="288"/>
      <c r="L228" s="288">
        <f t="shared" si="40"/>
        <v>12.487749800511326</v>
      </c>
      <c r="M228" s="288"/>
      <c r="N228" s="289">
        <f t="shared" si="43"/>
        <v>0.16800000000000001</v>
      </c>
      <c r="O228" s="287">
        <f t="shared" si="46"/>
        <v>15.720273590834422</v>
      </c>
      <c r="P228" s="288"/>
      <c r="Q228" s="288">
        <f t="shared" si="38"/>
        <v>3.8879999999999999</v>
      </c>
      <c r="R228" s="341">
        <f t="shared" si="44"/>
        <v>0</v>
      </c>
      <c r="S228" s="287"/>
      <c r="T228" s="287"/>
      <c r="U228" s="279">
        <f t="shared" si="45"/>
        <v>136.89784733024189</v>
      </c>
      <c r="V228" s="290"/>
      <c r="W228" s="290"/>
      <c r="X228" s="291">
        <v>1.5503199999999999</v>
      </c>
    </row>
    <row r="229" spans="1:24" ht="31.5">
      <c r="A229" s="283">
        <f t="shared" si="41"/>
        <v>216</v>
      </c>
      <c r="B229" s="301" t="s">
        <v>101</v>
      </c>
      <c r="C229" s="292">
        <v>3</v>
      </c>
      <c r="D229" s="293"/>
      <c r="E229" s="287">
        <f t="shared" si="39"/>
        <v>155.9546927654776</v>
      </c>
      <c r="F229" s="280">
        <f t="shared" si="42"/>
        <v>46.285462452881447</v>
      </c>
      <c r="G229" s="288"/>
      <c r="H229" s="288"/>
      <c r="I229" s="288">
        <f>E229*0.08</f>
        <v>12.476375421238208</v>
      </c>
      <c r="J229" s="288"/>
      <c r="K229" s="288">
        <f>E229/C229*0.25</f>
        <v>12.996224397123134</v>
      </c>
      <c r="L229" s="288">
        <f t="shared" si="40"/>
        <v>20.812862634520101</v>
      </c>
      <c r="M229" s="288"/>
      <c r="N229" s="289">
        <f t="shared" si="43"/>
        <v>0.16199999999999998</v>
      </c>
      <c r="O229" s="287">
        <f t="shared" si="46"/>
        <v>25.264660228007369</v>
      </c>
      <c r="P229" s="288"/>
      <c r="Q229" s="288">
        <f t="shared" si="38"/>
        <v>3.8879999999999999</v>
      </c>
      <c r="R229" s="341">
        <f t="shared" si="44"/>
        <v>0</v>
      </c>
      <c r="S229" s="287"/>
      <c r="T229" s="287"/>
      <c r="U229" s="279">
        <f t="shared" si="45"/>
        <v>231.39281544636643</v>
      </c>
      <c r="V229" s="290"/>
      <c r="W229" s="290"/>
      <c r="X229" s="291">
        <v>2.58386</v>
      </c>
    </row>
    <row r="230" spans="1:24" ht="31.5">
      <c r="A230" s="283">
        <f t="shared" si="41"/>
        <v>217</v>
      </c>
      <c r="B230" s="301" t="s">
        <v>102</v>
      </c>
      <c r="C230" s="292">
        <v>6</v>
      </c>
      <c r="D230" s="293"/>
      <c r="E230" s="287">
        <f t="shared" si="39"/>
        <v>266.85631730440144</v>
      </c>
      <c r="F230" s="280">
        <f t="shared" si="42"/>
        <v>95.331448971129902</v>
      </c>
      <c r="G230" s="288">
        <f>E230/2003*60*12*0.4</f>
        <v>38.369755059244945</v>
      </c>
      <c r="H230" s="288"/>
      <c r="I230" s="288">
        <f>E230*0.08</f>
        <v>21.348505384352116</v>
      </c>
      <c r="J230" s="288"/>
      <c r="K230" s="288"/>
      <c r="L230" s="288">
        <f t="shared" si="40"/>
        <v>35.613188527532849</v>
      </c>
      <c r="M230" s="288"/>
      <c r="N230" s="289">
        <f t="shared" si="43"/>
        <v>0.18356764852720917</v>
      </c>
      <c r="O230" s="287">
        <f t="shared" si="46"/>
        <v>48.986186662199771</v>
      </c>
      <c r="P230" s="288"/>
      <c r="Q230" s="288">
        <f t="shared" si="38"/>
        <v>7.7759999999999998</v>
      </c>
      <c r="R230" s="341">
        <f t="shared" si="44"/>
        <v>0</v>
      </c>
      <c r="S230" s="287"/>
      <c r="T230" s="287"/>
      <c r="U230" s="279">
        <f t="shared" si="45"/>
        <v>418.9499529377311</v>
      </c>
      <c r="V230" s="290"/>
      <c r="W230" s="290"/>
      <c r="X230" s="291">
        <v>2.2106400000000002</v>
      </c>
    </row>
    <row r="231" spans="1:24" ht="31.5">
      <c r="A231" s="283">
        <f t="shared" si="41"/>
        <v>218</v>
      </c>
      <c r="B231" s="301" t="s">
        <v>103</v>
      </c>
      <c r="C231" s="292">
        <v>0</v>
      </c>
      <c r="D231" s="293"/>
      <c r="E231" s="287">
        <f t="shared" si="39"/>
        <v>0</v>
      </c>
      <c r="F231" s="280">
        <f t="shared" si="42"/>
        <v>0</v>
      </c>
      <c r="G231" s="288"/>
      <c r="H231" s="288"/>
      <c r="I231" s="288">
        <f>E231*0.08</f>
        <v>0</v>
      </c>
      <c r="J231" s="288"/>
      <c r="K231" s="288"/>
      <c r="L231" s="288">
        <f t="shared" si="40"/>
        <v>0</v>
      </c>
      <c r="M231" s="288"/>
      <c r="N231" s="289" t="e">
        <f t="shared" si="43"/>
        <v>#DIV/0!</v>
      </c>
      <c r="O231" s="287">
        <f t="shared" si="46"/>
        <v>0</v>
      </c>
      <c r="P231" s="288"/>
      <c r="Q231" s="288">
        <f t="shared" si="38"/>
        <v>0</v>
      </c>
      <c r="R231" s="341">
        <f t="shared" si="44"/>
        <v>0</v>
      </c>
      <c r="S231" s="287"/>
      <c r="T231" s="287"/>
      <c r="U231" s="279">
        <f t="shared" si="45"/>
        <v>0</v>
      </c>
      <c r="V231" s="290"/>
      <c r="W231" s="290"/>
      <c r="X231" s="291">
        <v>1.72258</v>
      </c>
    </row>
    <row r="232" spans="1:24" ht="15.75">
      <c r="A232" s="283">
        <f t="shared" si="41"/>
        <v>219</v>
      </c>
      <c r="B232" s="301" t="s">
        <v>104</v>
      </c>
      <c r="C232" s="292">
        <v>6</v>
      </c>
      <c r="D232" s="293"/>
      <c r="E232" s="287">
        <f t="shared" si="39"/>
        <v>266.85631730440144</v>
      </c>
      <c r="F232" s="280">
        <f t="shared" si="42"/>
        <v>83.20256511348444</v>
      </c>
      <c r="G232" s="288"/>
      <c r="H232" s="288"/>
      <c r="I232" s="288">
        <f>E232*0.12</f>
        <v>32.02275807652817</v>
      </c>
      <c r="J232" s="288"/>
      <c r="K232" s="288">
        <f>E232/C232*0.35</f>
        <v>15.566618509423417</v>
      </c>
      <c r="L232" s="288">
        <f t="shared" si="40"/>
        <v>35.613188527532849</v>
      </c>
      <c r="M232" s="288"/>
      <c r="N232" s="289">
        <f t="shared" si="43"/>
        <v>0.16799999999999998</v>
      </c>
      <c r="O232" s="287">
        <f>(E232+G232+H232+I232+J232)*0.15</f>
        <v>44.831861307139441</v>
      </c>
      <c r="P232" s="288"/>
      <c r="Q232" s="288">
        <f t="shared" si="38"/>
        <v>7.7759999999999998</v>
      </c>
      <c r="R232" s="341">
        <f t="shared" si="44"/>
        <v>0</v>
      </c>
      <c r="S232" s="287"/>
      <c r="T232" s="287"/>
      <c r="U232" s="279">
        <f t="shared" si="45"/>
        <v>402.66674372502536</v>
      </c>
      <c r="V232" s="290"/>
      <c r="W232" s="290"/>
      <c r="X232" s="291">
        <v>2.2106400000000002</v>
      </c>
    </row>
    <row r="233" spans="1:24" ht="15.75">
      <c r="A233" s="283">
        <f t="shared" si="41"/>
        <v>220</v>
      </c>
      <c r="B233" s="301" t="s">
        <v>60</v>
      </c>
      <c r="C233" s="292">
        <v>5</v>
      </c>
      <c r="D233" s="293"/>
      <c r="E233" s="287">
        <f t="shared" si="39"/>
        <v>194.94386893395867</v>
      </c>
      <c r="F233" s="280">
        <f t="shared" si="42"/>
        <v>49.409409689806978</v>
      </c>
      <c r="G233" s="288"/>
      <c r="H233" s="288"/>
      <c r="I233" s="288">
        <f>E233*0.12</f>
        <v>23.39326427207504</v>
      </c>
      <c r="J233" s="288"/>
      <c r="K233" s="288"/>
      <c r="L233" s="288">
        <f t="shared" si="40"/>
        <v>26.016145417731941</v>
      </c>
      <c r="M233" s="288"/>
      <c r="N233" s="289">
        <f t="shared" si="43"/>
        <v>0.16799999999999998</v>
      </c>
      <c r="O233" s="287">
        <f t="shared" si="46"/>
        <v>32.750569980905055</v>
      </c>
      <c r="P233" s="288"/>
      <c r="Q233" s="288">
        <f t="shared" si="38"/>
        <v>6.48</v>
      </c>
      <c r="R233" s="341">
        <f t="shared" si="44"/>
        <v>0</v>
      </c>
      <c r="S233" s="287"/>
      <c r="T233" s="287"/>
      <c r="U233" s="279">
        <f t="shared" si="45"/>
        <v>283.58384860467072</v>
      </c>
      <c r="V233" s="290"/>
      <c r="W233" s="290"/>
      <c r="X233" s="291">
        <v>1.9379</v>
      </c>
    </row>
    <row r="234" spans="1:24" ht="15.75">
      <c r="A234" s="283">
        <f t="shared" si="41"/>
        <v>221</v>
      </c>
      <c r="B234" s="301" t="s">
        <v>105</v>
      </c>
      <c r="C234" s="292">
        <v>0</v>
      </c>
      <c r="D234" s="293"/>
      <c r="E234" s="287">
        <f t="shared" si="39"/>
        <v>0</v>
      </c>
      <c r="F234" s="280">
        <f t="shared" si="42"/>
        <v>0</v>
      </c>
      <c r="G234" s="288"/>
      <c r="H234" s="288"/>
      <c r="I234" s="288">
        <f>E234*0.12</f>
        <v>0</v>
      </c>
      <c r="J234" s="288"/>
      <c r="K234" s="288"/>
      <c r="L234" s="288">
        <f t="shared" si="40"/>
        <v>0</v>
      </c>
      <c r="M234" s="288"/>
      <c r="N234" s="289" t="e">
        <f t="shared" si="43"/>
        <v>#DIV/0!</v>
      </c>
      <c r="O234" s="287">
        <f t="shared" si="46"/>
        <v>0</v>
      </c>
      <c r="P234" s="288"/>
      <c r="Q234" s="288">
        <f t="shared" si="38"/>
        <v>0</v>
      </c>
      <c r="R234" s="341">
        <f t="shared" si="44"/>
        <v>0</v>
      </c>
      <c r="S234" s="287"/>
      <c r="T234" s="287"/>
      <c r="U234" s="279">
        <f t="shared" si="45"/>
        <v>0</v>
      </c>
      <c r="V234" s="290"/>
      <c r="W234" s="290"/>
      <c r="X234" s="291">
        <v>1.72258</v>
      </c>
    </row>
    <row r="235" spans="1:24" ht="15.75">
      <c r="A235" s="283">
        <f t="shared" si="41"/>
        <v>222</v>
      </c>
      <c r="B235" s="301" t="s">
        <v>106</v>
      </c>
      <c r="C235" s="292">
        <v>0</v>
      </c>
      <c r="D235" s="293"/>
      <c r="E235" s="287">
        <f t="shared" si="39"/>
        <v>0</v>
      </c>
      <c r="F235" s="280">
        <f t="shared" si="42"/>
        <v>0</v>
      </c>
      <c r="G235" s="288"/>
      <c r="H235" s="288"/>
      <c r="I235" s="288"/>
      <c r="J235" s="288"/>
      <c r="K235" s="288"/>
      <c r="L235" s="288">
        <f t="shared" si="40"/>
        <v>0</v>
      </c>
      <c r="M235" s="288"/>
      <c r="N235" s="289" t="e">
        <f t="shared" si="43"/>
        <v>#DIV/0!</v>
      </c>
      <c r="O235" s="287">
        <f t="shared" si="46"/>
        <v>0</v>
      </c>
      <c r="P235" s="288"/>
      <c r="Q235" s="288">
        <f t="shared" si="38"/>
        <v>0</v>
      </c>
      <c r="R235" s="341">
        <f t="shared" si="44"/>
        <v>0</v>
      </c>
      <c r="S235" s="287"/>
      <c r="T235" s="287"/>
      <c r="U235" s="279">
        <f t="shared" si="45"/>
        <v>0</v>
      </c>
      <c r="V235" s="290"/>
      <c r="W235" s="290"/>
      <c r="X235" s="291">
        <v>1.5503199999999999</v>
      </c>
    </row>
    <row r="236" spans="1:24" ht="31.5">
      <c r="A236" s="283">
        <f t="shared" si="41"/>
        <v>223</v>
      </c>
      <c r="B236" s="513" t="s">
        <v>107</v>
      </c>
      <c r="C236" s="292">
        <v>1</v>
      </c>
      <c r="D236" s="293"/>
      <c r="E236" s="287">
        <f t="shared" si="39"/>
        <v>78.162643150671272</v>
      </c>
      <c r="F236" s="280">
        <f t="shared" si="42"/>
        <v>16.684171465252376</v>
      </c>
      <c r="G236" s="288"/>
      <c r="H236" s="288"/>
      <c r="I236" s="288">
        <f>E236*0.08</f>
        <v>6.2530114520537019</v>
      </c>
      <c r="J236" s="288"/>
      <c r="K236" s="288"/>
      <c r="L236" s="288">
        <f t="shared" si="40"/>
        <v>10.431160013198674</v>
      </c>
      <c r="M236" s="288"/>
      <c r="N236" s="289">
        <f t="shared" si="43"/>
        <v>0.32399999999999995</v>
      </c>
      <c r="O236" s="287">
        <f>(E236+G236+H236+I236+J236)*0.3</f>
        <v>25.324696380817489</v>
      </c>
      <c r="P236" s="288"/>
      <c r="Q236" s="288">
        <f t="shared" si="38"/>
        <v>1.296</v>
      </c>
      <c r="R236" s="341">
        <f t="shared" si="44"/>
        <v>0</v>
      </c>
      <c r="S236" s="287"/>
      <c r="T236" s="287"/>
      <c r="U236" s="279">
        <f t="shared" si="45"/>
        <v>121.46751099674114</v>
      </c>
      <c r="V236" s="327" t="s">
        <v>439</v>
      </c>
      <c r="W236" s="290"/>
      <c r="X236" s="291">
        <v>3.8849999999999998</v>
      </c>
    </row>
    <row r="237" spans="1:24" ht="15.75">
      <c r="A237" s="283">
        <f t="shared" si="41"/>
        <v>224</v>
      </c>
      <c r="B237" s="284" t="s">
        <v>108</v>
      </c>
      <c r="C237" s="292">
        <v>2</v>
      </c>
      <c r="D237" s="293"/>
      <c r="E237" s="287">
        <f t="shared" si="39"/>
        <v>117.29426243717208</v>
      </c>
      <c r="F237" s="280">
        <f t="shared" si="42"/>
        <v>25.03699347295273</v>
      </c>
      <c r="G237" s="288"/>
      <c r="H237" s="288"/>
      <c r="I237" s="288">
        <f>E237*0.08</f>
        <v>9.3835409949737674</v>
      </c>
      <c r="J237" s="288"/>
      <c r="K237" s="288"/>
      <c r="L237" s="288">
        <f t="shared" si="40"/>
        <v>15.653452477978965</v>
      </c>
      <c r="M237" s="288"/>
      <c r="N237" s="289">
        <f t="shared" si="43"/>
        <v>0.32400000000000001</v>
      </c>
      <c r="O237" s="287">
        <f>(E237+G237+H237+I237+J237)*0.3</f>
        <v>38.003341029643757</v>
      </c>
      <c r="P237" s="288"/>
      <c r="Q237" s="288">
        <f t="shared" si="38"/>
        <v>2.5920000000000001</v>
      </c>
      <c r="R237" s="341">
        <f t="shared" si="44"/>
        <v>0</v>
      </c>
      <c r="S237" s="287"/>
      <c r="T237" s="287"/>
      <c r="U237" s="279">
        <f t="shared" si="45"/>
        <v>182.92659693976859</v>
      </c>
      <c r="V237" s="327" t="s">
        <v>439</v>
      </c>
      <c r="W237" s="290"/>
      <c r="X237" s="291">
        <v>2.915</v>
      </c>
    </row>
    <row r="238" spans="1:24" ht="31.5">
      <c r="A238" s="283">
        <f t="shared" si="41"/>
        <v>225</v>
      </c>
      <c r="B238" s="295" t="s">
        <v>109</v>
      </c>
      <c r="C238" s="296">
        <v>3</v>
      </c>
      <c r="D238" s="293"/>
      <c r="E238" s="287">
        <f t="shared" si="39"/>
        <v>133.42815865220072</v>
      </c>
      <c r="F238" s="280">
        <f t="shared" si="42"/>
        <v>33.817973302030509</v>
      </c>
      <c r="G238" s="288"/>
      <c r="H238" s="288"/>
      <c r="I238" s="288">
        <f>E238*0.12</f>
        <v>16.011379038264085</v>
      </c>
      <c r="J238" s="288"/>
      <c r="K238" s="288"/>
      <c r="L238" s="288">
        <f t="shared" si="40"/>
        <v>17.806594263766424</v>
      </c>
      <c r="M238" s="288"/>
      <c r="N238" s="289">
        <f t="shared" si="43"/>
        <v>0.16799999999999998</v>
      </c>
      <c r="O238" s="287">
        <f>(E238+G238+H238+I238+J238)*0.15</f>
        <v>22.41593065356972</v>
      </c>
      <c r="P238" s="288"/>
      <c r="Q238" s="288">
        <f t="shared" si="38"/>
        <v>3.8879999999999999</v>
      </c>
      <c r="R238" s="341">
        <f t="shared" si="44"/>
        <v>0</v>
      </c>
      <c r="S238" s="287"/>
      <c r="T238" s="287"/>
      <c r="U238" s="279">
        <f t="shared" si="45"/>
        <v>193.55006260780095</v>
      </c>
      <c r="V238" s="290"/>
      <c r="W238" s="290"/>
      <c r="X238" s="291">
        <v>2.2106400000000002</v>
      </c>
    </row>
    <row r="239" spans="1:24" ht="31.5">
      <c r="A239" s="283">
        <f t="shared" si="41"/>
        <v>226</v>
      </c>
      <c r="B239" s="295" t="s">
        <v>110</v>
      </c>
      <c r="C239" s="296">
        <v>9</v>
      </c>
      <c r="D239" s="293"/>
      <c r="E239" s="287">
        <f t="shared" si="39"/>
        <v>350.8989640811256</v>
      </c>
      <c r="F239" s="280">
        <f t="shared" si="42"/>
        <v>127.9257112284443</v>
      </c>
      <c r="G239" s="288"/>
      <c r="H239" s="288"/>
      <c r="I239" s="288">
        <f>E239*0.12</f>
        <v>42.107875689735067</v>
      </c>
      <c r="J239" s="288"/>
      <c r="K239" s="288">
        <f>E239/C239*0.25*4</f>
        <v>38.988773786791732</v>
      </c>
      <c r="L239" s="288">
        <f t="shared" si="40"/>
        <v>46.829061751917486</v>
      </c>
      <c r="M239" s="288"/>
      <c r="N239" s="289">
        <f t="shared" si="43"/>
        <v>0.16800000000000001</v>
      </c>
      <c r="O239" s="287">
        <f>(E239+G239+H239+I239+J239)*0.15</f>
        <v>58.9510259656291</v>
      </c>
      <c r="P239" s="288"/>
      <c r="Q239" s="288">
        <f t="shared" si="38"/>
        <v>11.664</v>
      </c>
      <c r="R239" s="341">
        <f t="shared" si="44"/>
        <v>0</v>
      </c>
      <c r="S239" s="287"/>
      <c r="T239" s="287"/>
      <c r="U239" s="279">
        <f t="shared" si="45"/>
        <v>549.43970127519901</v>
      </c>
      <c r="V239" s="290"/>
      <c r="W239" s="290"/>
      <c r="X239" s="291">
        <v>1.9379</v>
      </c>
    </row>
    <row r="240" spans="1:24" ht="31.5">
      <c r="A240" s="283">
        <f t="shared" si="41"/>
        <v>227</v>
      </c>
      <c r="B240" s="295" t="s">
        <v>111</v>
      </c>
      <c r="C240" s="296">
        <v>10</v>
      </c>
      <c r="D240" s="293"/>
      <c r="E240" s="287">
        <f t="shared" si="39"/>
        <v>346.56732519558136</v>
      </c>
      <c r="F240" s="280">
        <f t="shared" si="42"/>
        <v>87.83906387684371</v>
      </c>
      <c r="G240" s="288"/>
      <c r="H240" s="288"/>
      <c r="I240" s="288">
        <f>E240*0.12</f>
        <v>41.58807902346976</v>
      </c>
      <c r="J240" s="288"/>
      <c r="K240" s="288"/>
      <c r="L240" s="288">
        <f t="shared" si="40"/>
        <v>46.250984853373943</v>
      </c>
      <c r="M240" s="288"/>
      <c r="N240" s="289">
        <f t="shared" si="43"/>
        <v>0.16799999999999998</v>
      </c>
      <c r="O240" s="287">
        <f>(E240+G240+H240+I240+J240)*0.15</f>
        <v>58.223310632857661</v>
      </c>
      <c r="P240" s="288"/>
      <c r="Q240" s="288">
        <f t="shared" si="38"/>
        <v>12.96</v>
      </c>
      <c r="R240" s="341">
        <f t="shared" si="44"/>
        <v>0</v>
      </c>
      <c r="S240" s="287"/>
      <c r="T240" s="287"/>
      <c r="U240" s="279">
        <f t="shared" si="45"/>
        <v>505.58969970528273</v>
      </c>
      <c r="V240" s="290"/>
      <c r="W240" s="290"/>
      <c r="X240" s="291">
        <v>1.72258</v>
      </c>
    </row>
    <row r="241" spans="1:24" ht="15.75">
      <c r="A241" s="283">
        <f t="shared" si="41"/>
        <v>228</v>
      </c>
      <c r="B241" s="295" t="s">
        <v>1387</v>
      </c>
      <c r="C241" s="296">
        <v>1</v>
      </c>
      <c r="D241" s="293"/>
      <c r="E241" s="287">
        <f t="shared" si="39"/>
        <v>44.476052884066917</v>
      </c>
      <c r="F241" s="280">
        <f t="shared" si="42"/>
        <v>11.272657767343507</v>
      </c>
      <c r="G241" s="288"/>
      <c r="H241" s="288"/>
      <c r="I241" s="288">
        <f>E241*0.12</f>
        <v>5.3371263460880298</v>
      </c>
      <c r="J241" s="288"/>
      <c r="K241" s="288"/>
      <c r="L241" s="288">
        <f t="shared" si="40"/>
        <v>5.9355314212554759</v>
      </c>
      <c r="M241" s="288"/>
      <c r="N241" s="289">
        <f t="shared" si="43"/>
        <v>0.16799999999999998</v>
      </c>
      <c r="O241" s="287">
        <f>(E241+G241+H241+I241+J241)*0.15</f>
        <v>7.471976884523241</v>
      </c>
      <c r="P241" s="288"/>
      <c r="Q241" s="288">
        <f t="shared" si="38"/>
        <v>1.296</v>
      </c>
      <c r="R241" s="341">
        <f t="shared" si="44"/>
        <v>0</v>
      </c>
      <c r="S241" s="287"/>
      <c r="T241" s="287"/>
      <c r="U241" s="279">
        <f t="shared" si="45"/>
        <v>64.51668753593367</v>
      </c>
      <c r="V241" s="290"/>
      <c r="W241" s="290"/>
      <c r="X241" s="291">
        <v>2.2106400000000002</v>
      </c>
    </row>
    <row r="242" spans="1:24" ht="31.5">
      <c r="A242" s="283">
        <f t="shared" si="41"/>
        <v>229</v>
      </c>
      <c r="B242" s="295" t="s">
        <v>112</v>
      </c>
      <c r="C242" s="296">
        <v>1</v>
      </c>
      <c r="D242" s="293"/>
      <c r="E242" s="287">
        <f t="shared" si="39"/>
        <v>38.988773786791725</v>
      </c>
      <c r="F242" s="280">
        <f t="shared" si="42"/>
        <v>5.203229083546387</v>
      </c>
      <c r="G242" s="288"/>
      <c r="H242" s="288"/>
      <c r="I242" s="288"/>
      <c r="J242" s="288"/>
      <c r="K242" s="288"/>
      <c r="L242" s="288">
        <f t="shared" si="40"/>
        <v>5.203229083546387</v>
      </c>
      <c r="M242" s="288"/>
      <c r="N242" s="289">
        <f t="shared" si="43"/>
        <v>0.2</v>
      </c>
      <c r="O242" s="287">
        <f>(E242+G242+H242+I242+J242)*0.2</f>
        <v>7.7977547573583452</v>
      </c>
      <c r="P242" s="288"/>
      <c r="Q242" s="288">
        <f t="shared" si="38"/>
        <v>1.296</v>
      </c>
      <c r="R242" s="341">
        <f t="shared" si="44"/>
        <v>0</v>
      </c>
      <c r="S242" s="287"/>
      <c r="T242" s="287"/>
      <c r="U242" s="279">
        <f t="shared" si="45"/>
        <v>53.285757627696462</v>
      </c>
      <c r="V242" s="290"/>
      <c r="W242" s="290"/>
      <c r="X242" s="291">
        <v>1.9379</v>
      </c>
    </row>
    <row r="243" spans="1:24" ht="31.5">
      <c r="A243" s="283">
        <f t="shared" si="41"/>
        <v>230</v>
      </c>
      <c r="B243" s="295" t="s">
        <v>113</v>
      </c>
      <c r="C243" s="296">
        <v>2</v>
      </c>
      <c r="D243" s="293"/>
      <c r="E243" s="287">
        <f t="shared" si="39"/>
        <v>62.382038058866755</v>
      </c>
      <c r="F243" s="280">
        <f t="shared" si="42"/>
        <v>8.3251665336742171</v>
      </c>
      <c r="G243" s="288"/>
      <c r="H243" s="288"/>
      <c r="I243" s="288"/>
      <c r="J243" s="288"/>
      <c r="K243" s="288"/>
      <c r="L243" s="288">
        <f t="shared" si="40"/>
        <v>8.3251665336742171</v>
      </c>
      <c r="M243" s="288"/>
      <c r="N243" s="289">
        <f t="shared" si="43"/>
        <v>0.2</v>
      </c>
      <c r="O243" s="287">
        <f>(E243+G243+H243+I243+J243)*0.2</f>
        <v>12.476407611773352</v>
      </c>
      <c r="P243" s="288"/>
      <c r="Q243" s="288">
        <f t="shared" si="38"/>
        <v>2.5920000000000001</v>
      </c>
      <c r="R243" s="341">
        <f t="shared" si="44"/>
        <v>0</v>
      </c>
      <c r="S243" s="287"/>
      <c r="T243" s="287"/>
      <c r="U243" s="279">
        <f t="shared" si="45"/>
        <v>85.775612204314328</v>
      </c>
      <c r="V243" s="290"/>
      <c r="W243" s="290"/>
      <c r="X243" s="291">
        <v>1.5503199999999999</v>
      </c>
    </row>
    <row r="244" spans="1:24" ht="31.5">
      <c r="A244" s="283">
        <f t="shared" si="41"/>
        <v>231</v>
      </c>
      <c r="B244" s="295" t="s">
        <v>114</v>
      </c>
      <c r="C244" s="296">
        <v>1</v>
      </c>
      <c r="D244" s="293"/>
      <c r="E244" s="287">
        <f t="shared" si="39"/>
        <v>34.656732519558126</v>
      </c>
      <c r="F244" s="280">
        <f t="shared" si="42"/>
        <v>4.6250984853373929</v>
      </c>
      <c r="G244" s="288"/>
      <c r="H244" s="288"/>
      <c r="I244" s="288"/>
      <c r="J244" s="288"/>
      <c r="K244" s="288"/>
      <c r="L244" s="288">
        <f t="shared" si="40"/>
        <v>4.6250984853373929</v>
      </c>
      <c r="M244" s="288"/>
      <c r="N244" s="289">
        <f t="shared" si="43"/>
        <v>0.2</v>
      </c>
      <c r="O244" s="287">
        <f>(E244+G244+H244+I244+J244)*0.2</f>
        <v>6.9313465039116258</v>
      </c>
      <c r="P244" s="288"/>
      <c r="Q244" s="288">
        <f t="shared" si="38"/>
        <v>1.296</v>
      </c>
      <c r="R244" s="341">
        <f t="shared" si="44"/>
        <v>0</v>
      </c>
      <c r="S244" s="287"/>
      <c r="T244" s="287"/>
      <c r="U244" s="279">
        <f t="shared" si="45"/>
        <v>47.509177508807149</v>
      </c>
      <c r="V244" s="290"/>
      <c r="W244" s="290"/>
      <c r="X244" s="291">
        <v>1.72258</v>
      </c>
    </row>
    <row r="245" spans="1:24" ht="31.5">
      <c r="A245" s="283">
        <f t="shared" si="41"/>
        <v>232</v>
      </c>
      <c r="B245" s="513" t="s">
        <v>115</v>
      </c>
      <c r="C245" s="296">
        <v>1</v>
      </c>
      <c r="D245" s="293"/>
      <c r="E245" s="287">
        <f t="shared" si="39"/>
        <v>78.162643150671272</v>
      </c>
      <c r="F245" s="280">
        <f t="shared" si="42"/>
        <v>10.431160013198674</v>
      </c>
      <c r="G245" s="288"/>
      <c r="H245" s="288"/>
      <c r="I245" s="288"/>
      <c r="J245" s="288"/>
      <c r="K245" s="288"/>
      <c r="L245" s="288">
        <f t="shared" si="40"/>
        <v>10.431160013198674</v>
      </c>
      <c r="M245" s="288"/>
      <c r="N245" s="289">
        <f t="shared" si="43"/>
        <v>0.2</v>
      </c>
      <c r="O245" s="287">
        <f>(E245+G245+H245+I245+J245)*0.2</f>
        <v>15.632528630134255</v>
      </c>
      <c r="P245" s="288"/>
      <c r="Q245" s="288">
        <f t="shared" si="38"/>
        <v>1.296</v>
      </c>
      <c r="R245" s="341">
        <f t="shared" si="44"/>
        <v>0</v>
      </c>
      <c r="S245" s="287"/>
      <c r="T245" s="287"/>
      <c r="U245" s="279">
        <f t="shared" si="45"/>
        <v>105.52233179400422</v>
      </c>
      <c r="V245" s="327" t="s">
        <v>439</v>
      </c>
      <c r="W245" s="290"/>
      <c r="X245" s="291">
        <v>3.8849999999999998</v>
      </c>
    </row>
    <row r="246" spans="1:24" ht="15.75">
      <c r="A246" s="283">
        <f t="shared" si="41"/>
        <v>233</v>
      </c>
      <c r="B246" s="284" t="s">
        <v>116</v>
      </c>
      <c r="C246" s="296">
        <v>2</v>
      </c>
      <c r="D246" s="293"/>
      <c r="E246" s="287">
        <f t="shared" si="39"/>
        <v>111.05734625269125</v>
      </c>
      <c r="F246" s="280">
        <f t="shared" si="42"/>
        <v>14.821107663540976</v>
      </c>
      <c r="G246" s="288"/>
      <c r="H246" s="288"/>
      <c r="I246" s="288"/>
      <c r="J246" s="288"/>
      <c r="K246" s="288"/>
      <c r="L246" s="288">
        <f t="shared" si="40"/>
        <v>14.821107663540976</v>
      </c>
      <c r="M246" s="288"/>
      <c r="N246" s="289">
        <f t="shared" si="43"/>
        <v>0.3</v>
      </c>
      <c r="O246" s="287">
        <f>(E246+G246+H246+I246+J246)*0.3</f>
        <v>33.317203875807373</v>
      </c>
      <c r="P246" s="288"/>
      <c r="Q246" s="288">
        <f t="shared" si="38"/>
        <v>2.5920000000000001</v>
      </c>
      <c r="R246" s="341">
        <f t="shared" si="44"/>
        <v>0</v>
      </c>
      <c r="S246" s="287"/>
      <c r="T246" s="287"/>
      <c r="U246" s="279">
        <f t="shared" si="45"/>
        <v>161.7876577920396</v>
      </c>
      <c r="V246" s="328" t="s">
        <v>440</v>
      </c>
      <c r="W246" s="290"/>
      <c r="X246" s="291">
        <v>2.76</v>
      </c>
    </row>
    <row r="247" spans="1:24" ht="15.75">
      <c r="A247" s="283">
        <f t="shared" si="41"/>
        <v>234</v>
      </c>
      <c r="B247" s="295" t="s">
        <v>117</v>
      </c>
      <c r="C247" s="296">
        <v>1</v>
      </c>
      <c r="D247" s="293"/>
      <c r="E247" s="287">
        <f t="shared" si="39"/>
        <v>38.988773786791725</v>
      </c>
      <c r="F247" s="280">
        <f t="shared" si="42"/>
        <v>8.3223309864897246</v>
      </c>
      <c r="G247" s="288"/>
      <c r="H247" s="288"/>
      <c r="I247" s="288">
        <f>E247*0.08</f>
        <v>3.119101902943338</v>
      </c>
      <c r="J247" s="288"/>
      <c r="K247" s="288"/>
      <c r="L247" s="288">
        <f t="shared" si="40"/>
        <v>5.203229083546387</v>
      </c>
      <c r="M247" s="288"/>
      <c r="N247" s="289">
        <f t="shared" si="43"/>
        <v>0.16199999999999998</v>
      </c>
      <c r="O247" s="287">
        <f>(E247+G247+H247+I247+J247)*0.15</f>
        <v>6.3161813534602587</v>
      </c>
      <c r="P247" s="288"/>
      <c r="Q247" s="288">
        <f t="shared" si="38"/>
        <v>1.296</v>
      </c>
      <c r="R247" s="341">
        <f t="shared" si="44"/>
        <v>0</v>
      </c>
      <c r="S247" s="287"/>
      <c r="T247" s="287"/>
      <c r="U247" s="279">
        <f t="shared" si="45"/>
        <v>54.923286126741708</v>
      </c>
      <c r="V247" s="290"/>
      <c r="W247" s="290"/>
      <c r="X247" s="291">
        <v>1.9379</v>
      </c>
    </row>
    <row r="248" spans="1:24" ht="15.75">
      <c r="A248" s="283">
        <f t="shared" si="41"/>
        <v>235</v>
      </c>
      <c r="B248" s="295" t="s">
        <v>118</v>
      </c>
      <c r="C248" s="296">
        <v>0.5</v>
      </c>
      <c r="D248" s="293"/>
      <c r="E248" s="287">
        <f t="shared" si="39"/>
        <v>17.328366259779063</v>
      </c>
      <c r="F248" s="280">
        <f t="shared" si="42"/>
        <v>3.6988185434510212</v>
      </c>
      <c r="G248" s="288"/>
      <c r="H248" s="288"/>
      <c r="I248" s="288">
        <f>E248*0.08</f>
        <v>1.386269300782325</v>
      </c>
      <c r="J248" s="288"/>
      <c r="K248" s="288"/>
      <c r="L248" s="288">
        <f t="shared" si="40"/>
        <v>2.3125492426686964</v>
      </c>
      <c r="M248" s="288"/>
      <c r="N248" s="289">
        <f t="shared" si="43"/>
        <v>0.16199999999999998</v>
      </c>
      <c r="O248" s="287">
        <f>(E248+G248+H248+I248+J248)*0.15</f>
        <v>2.807195334084208</v>
      </c>
      <c r="P248" s="288"/>
      <c r="Q248" s="288">
        <f t="shared" si="38"/>
        <v>0.64800000000000002</v>
      </c>
      <c r="R248" s="341">
        <f t="shared" si="44"/>
        <v>0</v>
      </c>
      <c r="S248" s="287"/>
      <c r="T248" s="287"/>
      <c r="U248" s="279">
        <f t="shared" si="45"/>
        <v>24.482380137314294</v>
      </c>
      <c r="V248" s="290"/>
      <c r="W248" s="290"/>
      <c r="X248" s="291">
        <v>1.72258</v>
      </c>
    </row>
    <row r="249" spans="1:24" ht="17.25" customHeight="1">
      <c r="A249" s="283">
        <f>A244+1</f>
        <v>232</v>
      </c>
      <c r="B249" s="513" t="s">
        <v>119</v>
      </c>
      <c r="C249" s="292">
        <v>1</v>
      </c>
      <c r="D249" s="293"/>
      <c r="E249" s="287">
        <f t="shared" si="39"/>
        <v>81.482292087572375</v>
      </c>
      <c r="F249" s="280">
        <f t="shared" si="42"/>
        <v>10.874182253141477</v>
      </c>
      <c r="G249" s="288"/>
      <c r="H249" s="288"/>
      <c r="I249" s="288"/>
      <c r="J249" s="288"/>
      <c r="K249" s="288"/>
      <c r="L249" s="288">
        <f t="shared" si="40"/>
        <v>10.874182253141477</v>
      </c>
      <c r="M249" s="288"/>
      <c r="N249" s="289">
        <f t="shared" si="43"/>
        <v>0.2</v>
      </c>
      <c r="O249" s="287">
        <f>(E249+G249+H249+I249+J249)*0.2</f>
        <v>16.296458417514476</v>
      </c>
      <c r="P249" s="288"/>
      <c r="Q249" s="288">
        <f t="shared" si="38"/>
        <v>1.296</v>
      </c>
      <c r="R249" s="341">
        <f t="shared" si="44"/>
        <v>0</v>
      </c>
      <c r="S249" s="287"/>
      <c r="T249" s="287"/>
      <c r="U249" s="279">
        <f t="shared" si="45"/>
        <v>109.94893275822832</v>
      </c>
      <c r="V249" s="327" t="s">
        <v>439</v>
      </c>
      <c r="W249" s="290"/>
      <c r="X249" s="291">
        <v>4.05</v>
      </c>
    </row>
    <row r="250" spans="1:24" ht="17.25" customHeight="1">
      <c r="A250" s="283">
        <f t="shared" si="41"/>
        <v>233</v>
      </c>
      <c r="B250" s="284" t="s">
        <v>120</v>
      </c>
      <c r="C250" s="292">
        <v>1</v>
      </c>
      <c r="D250" s="293"/>
      <c r="E250" s="287">
        <f t="shared" si="39"/>
        <v>58.64713121858604</v>
      </c>
      <c r="F250" s="280">
        <f t="shared" si="42"/>
        <v>10.172611487732924</v>
      </c>
      <c r="G250" s="288"/>
      <c r="H250" s="288"/>
      <c r="I250" s="288">
        <f>E250*0.04</f>
        <v>2.3458852487434418</v>
      </c>
      <c r="J250" s="288"/>
      <c r="K250" s="288"/>
      <c r="L250" s="288">
        <f t="shared" si="40"/>
        <v>7.8267262389894823</v>
      </c>
      <c r="M250" s="288"/>
      <c r="N250" s="289">
        <f t="shared" si="43"/>
        <v>0.20800000000000002</v>
      </c>
      <c r="O250" s="287">
        <f>(E250+G250+H250+I250+J250)*0.2</f>
        <v>12.198603293465897</v>
      </c>
      <c r="P250" s="288"/>
      <c r="Q250" s="288">
        <f t="shared" si="38"/>
        <v>1.296</v>
      </c>
      <c r="R250" s="341">
        <f t="shared" si="44"/>
        <v>0</v>
      </c>
      <c r="S250" s="287"/>
      <c r="T250" s="287"/>
      <c r="U250" s="279">
        <f t="shared" si="45"/>
        <v>82.314345999784862</v>
      </c>
      <c r="V250" s="327" t="s">
        <v>439</v>
      </c>
      <c r="W250" s="290"/>
      <c r="X250" s="291">
        <v>2.915</v>
      </c>
    </row>
    <row r="251" spans="1:24" ht="15.75">
      <c r="A251" s="283">
        <f t="shared" si="41"/>
        <v>234</v>
      </c>
      <c r="B251" s="284" t="s">
        <v>121</v>
      </c>
      <c r="C251" s="292">
        <v>6</v>
      </c>
      <c r="D251" s="293"/>
      <c r="E251" s="287">
        <f t="shared" si="39"/>
        <v>333.17203875807371</v>
      </c>
      <c r="F251" s="280">
        <f t="shared" si="42"/>
        <v>92.368239197475276</v>
      </c>
      <c r="G251" s="288">
        <f>E251/2003*60*12*0.4</f>
        <v>47.904916206852342</v>
      </c>
      <c r="H251" s="288"/>
      <c r="I251" s="288"/>
      <c r="J251" s="288"/>
      <c r="K251" s="288"/>
      <c r="L251" s="288">
        <f t="shared" si="40"/>
        <v>44.463322990622927</v>
      </c>
      <c r="M251" s="288"/>
      <c r="N251" s="289">
        <f t="shared" si="43"/>
        <v>0.22875686470294562</v>
      </c>
      <c r="O251" s="287">
        <f>(E251+G251+H251+I251+J251)*0.2</f>
        <v>76.21539099298522</v>
      </c>
      <c r="P251" s="288"/>
      <c r="Q251" s="288">
        <f t="shared" si="38"/>
        <v>7.7759999999999998</v>
      </c>
      <c r="R251" s="341">
        <f t="shared" si="44"/>
        <v>0</v>
      </c>
      <c r="S251" s="287"/>
      <c r="T251" s="287"/>
      <c r="U251" s="279">
        <f t="shared" si="45"/>
        <v>509.53166894853422</v>
      </c>
      <c r="V251" s="329" t="s">
        <v>441</v>
      </c>
      <c r="W251" s="290"/>
      <c r="X251" s="291">
        <v>2.76</v>
      </c>
    </row>
    <row r="252" spans="1:24" ht="15.75">
      <c r="A252" s="283">
        <f t="shared" si="41"/>
        <v>235</v>
      </c>
      <c r="B252" s="295" t="s">
        <v>122</v>
      </c>
      <c r="C252" s="292">
        <v>1</v>
      </c>
      <c r="D252" s="293"/>
      <c r="E252" s="287">
        <f t="shared" si="39"/>
        <v>44.476052884066917</v>
      </c>
      <c r="F252" s="280">
        <f t="shared" si="42"/>
        <v>9.4936156519808286</v>
      </c>
      <c r="G252" s="288"/>
      <c r="H252" s="288"/>
      <c r="I252" s="288">
        <f>E252*0.08</f>
        <v>3.5580842307253535</v>
      </c>
      <c r="J252" s="288"/>
      <c r="K252" s="288"/>
      <c r="L252" s="288">
        <f t="shared" si="40"/>
        <v>5.9355314212554759</v>
      </c>
      <c r="M252" s="288"/>
      <c r="N252" s="289">
        <f t="shared" si="43"/>
        <v>0.16200000000000001</v>
      </c>
      <c r="O252" s="287">
        <f>(E252+G252+H252+I252+J252)*0.15</f>
        <v>7.2051205672188408</v>
      </c>
      <c r="P252" s="288"/>
      <c r="Q252" s="288">
        <f t="shared" si="38"/>
        <v>1.296</v>
      </c>
      <c r="R252" s="341">
        <f t="shared" si="44"/>
        <v>0</v>
      </c>
      <c r="S252" s="287"/>
      <c r="T252" s="287"/>
      <c r="U252" s="279">
        <f t="shared" si="45"/>
        <v>62.47078910326659</v>
      </c>
      <c r="V252" s="290"/>
      <c r="W252" s="290"/>
      <c r="X252" s="291">
        <v>2.2106400000000002</v>
      </c>
    </row>
    <row r="253" spans="1:24" ht="15.75">
      <c r="A253" s="283">
        <f t="shared" si="41"/>
        <v>236</v>
      </c>
      <c r="B253" s="295" t="s">
        <v>117</v>
      </c>
      <c r="C253" s="292">
        <v>5</v>
      </c>
      <c r="D253" s="293"/>
      <c r="E253" s="287">
        <f t="shared" si="39"/>
        <v>194.94386893395867</v>
      </c>
      <c r="F253" s="280">
        <f t="shared" si="42"/>
        <v>83.287598075838787</v>
      </c>
      <c r="G253" s="288">
        <f>E253/2003*60*12*0.4</f>
        <v>28.029872318013034</v>
      </c>
      <c r="H253" s="288"/>
      <c r="I253" s="288">
        <f>E253*0.08</f>
        <v>15.595509514716694</v>
      </c>
      <c r="J253" s="288"/>
      <c r="K253" s="288">
        <f>E253/C253*0.35</f>
        <v>13.646070825377105</v>
      </c>
      <c r="L253" s="288">
        <f t="shared" si="40"/>
        <v>26.016145417731941</v>
      </c>
      <c r="M253" s="288"/>
      <c r="N253" s="289">
        <f t="shared" si="43"/>
        <v>0.24475686470294564</v>
      </c>
      <c r="O253" s="287">
        <f t="shared" ref="O253:O258" si="47">(E253+G253+H253+I253+J253)*0.2</f>
        <v>47.713850153337688</v>
      </c>
      <c r="P253" s="288"/>
      <c r="Q253" s="288">
        <f t="shared" si="38"/>
        <v>6.48</v>
      </c>
      <c r="R253" s="341">
        <f t="shared" si="44"/>
        <v>0</v>
      </c>
      <c r="S253" s="287"/>
      <c r="T253" s="287"/>
      <c r="U253" s="279">
        <f t="shared" si="45"/>
        <v>332.42531716313522</v>
      </c>
      <c r="V253" s="290"/>
      <c r="W253" s="290"/>
      <c r="X253" s="291">
        <v>1.9379</v>
      </c>
    </row>
    <row r="254" spans="1:24" ht="15.75">
      <c r="A254" s="283">
        <f t="shared" si="41"/>
        <v>237</v>
      </c>
      <c r="B254" s="295" t="s">
        <v>118</v>
      </c>
      <c r="C254" s="292">
        <v>1</v>
      </c>
      <c r="D254" s="293"/>
      <c r="E254" s="287">
        <f t="shared" si="39"/>
        <v>34.656732519558126</v>
      </c>
      <c r="F254" s="280">
        <f t="shared" si="42"/>
        <v>12.38073192745758</v>
      </c>
      <c r="G254" s="288">
        <f>E254/2003*60*12*0.4</f>
        <v>4.9830948405555375</v>
      </c>
      <c r="H254" s="288"/>
      <c r="I254" s="288">
        <f>E254*0.08</f>
        <v>2.77253860156465</v>
      </c>
      <c r="J254" s="288"/>
      <c r="K254" s="288"/>
      <c r="L254" s="288">
        <f t="shared" si="40"/>
        <v>4.6250984853373929</v>
      </c>
      <c r="M254" s="288"/>
      <c r="N254" s="289">
        <f t="shared" si="43"/>
        <v>0.24475686470294558</v>
      </c>
      <c r="O254" s="287">
        <f t="shared" si="47"/>
        <v>8.4824731923356627</v>
      </c>
      <c r="P254" s="288"/>
      <c r="Q254" s="288">
        <f t="shared" si="38"/>
        <v>1.296</v>
      </c>
      <c r="R254" s="341">
        <f t="shared" si="44"/>
        <v>0</v>
      </c>
      <c r="S254" s="287"/>
      <c r="T254" s="287"/>
      <c r="U254" s="279">
        <f t="shared" si="45"/>
        <v>56.815937639351368</v>
      </c>
      <c r="V254" s="290"/>
      <c r="W254" s="290"/>
      <c r="X254" s="291">
        <v>1.72258</v>
      </c>
    </row>
    <row r="255" spans="1:24" ht="31.5">
      <c r="A255" s="283">
        <f t="shared" si="41"/>
        <v>238</v>
      </c>
      <c r="B255" s="513" t="s">
        <v>123</v>
      </c>
      <c r="C255" s="292">
        <v>1</v>
      </c>
      <c r="D255" s="293"/>
      <c r="E255" s="287">
        <f t="shared" si="39"/>
        <v>78.162643150671272</v>
      </c>
      <c r="F255" s="280">
        <f t="shared" si="42"/>
        <v>10.431160013198674</v>
      </c>
      <c r="G255" s="288"/>
      <c r="H255" s="288"/>
      <c r="I255" s="288"/>
      <c r="J255" s="288"/>
      <c r="K255" s="288"/>
      <c r="L255" s="288">
        <f t="shared" si="40"/>
        <v>10.431160013198674</v>
      </c>
      <c r="M255" s="288"/>
      <c r="N255" s="289">
        <f t="shared" si="43"/>
        <v>0.2</v>
      </c>
      <c r="O255" s="287">
        <f t="shared" si="47"/>
        <v>15.632528630134255</v>
      </c>
      <c r="P255" s="288"/>
      <c r="Q255" s="288">
        <f t="shared" si="38"/>
        <v>1.296</v>
      </c>
      <c r="R255" s="341">
        <f t="shared" si="44"/>
        <v>0</v>
      </c>
      <c r="S255" s="287"/>
      <c r="T255" s="287"/>
      <c r="U255" s="279">
        <f t="shared" si="45"/>
        <v>105.52233179400422</v>
      </c>
      <c r="V255" s="327" t="s">
        <v>439</v>
      </c>
      <c r="W255" s="290"/>
      <c r="X255" s="291">
        <v>3.8849999999999998</v>
      </c>
    </row>
    <row r="256" spans="1:24" ht="17.25" customHeight="1">
      <c r="A256" s="283">
        <f t="shared" si="41"/>
        <v>239</v>
      </c>
      <c r="B256" s="284" t="s">
        <v>124</v>
      </c>
      <c r="C256" s="292">
        <v>5</v>
      </c>
      <c r="D256" s="293"/>
      <c r="E256" s="287">
        <f t="shared" si="39"/>
        <v>324.92321412698618</v>
      </c>
      <c r="F256" s="280">
        <f t="shared" si="42"/>
        <v>43.362479848946883</v>
      </c>
      <c r="G256" s="288"/>
      <c r="H256" s="288"/>
      <c r="I256" s="288"/>
      <c r="J256" s="288"/>
      <c r="K256" s="288"/>
      <c r="L256" s="288">
        <f t="shared" si="40"/>
        <v>43.362479848946883</v>
      </c>
      <c r="M256" s="288"/>
      <c r="N256" s="289">
        <f t="shared" si="43"/>
        <v>0.20000000000000004</v>
      </c>
      <c r="O256" s="287">
        <f t="shared" si="47"/>
        <v>64.984642825397245</v>
      </c>
      <c r="P256" s="288"/>
      <c r="Q256" s="288">
        <f t="shared" si="38"/>
        <v>6.48</v>
      </c>
      <c r="R256" s="341">
        <f t="shared" si="44"/>
        <v>0</v>
      </c>
      <c r="S256" s="287"/>
      <c r="T256" s="287"/>
      <c r="U256" s="279">
        <f t="shared" si="45"/>
        <v>439.75033680133032</v>
      </c>
      <c r="V256" s="328" t="s">
        <v>440</v>
      </c>
      <c r="W256" s="290"/>
      <c r="X256" s="291">
        <v>3.23</v>
      </c>
    </row>
    <row r="257" spans="1:24" ht="17.25" customHeight="1">
      <c r="A257" s="283">
        <f t="shared" si="41"/>
        <v>240</v>
      </c>
      <c r="B257" s="300" t="s">
        <v>125</v>
      </c>
      <c r="C257" s="292">
        <v>1</v>
      </c>
      <c r="D257" s="293"/>
      <c r="E257" s="287">
        <f t="shared" si="39"/>
        <v>55.528673126345623</v>
      </c>
      <c r="F257" s="280">
        <f t="shared" si="42"/>
        <v>7.4105538317704882</v>
      </c>
      <c r="G257" s="288"/>
      <c r="H257" s="288"/>
      <c r="I257" s="288"/>
      <c r="J257" s="288"/>
      <c r="K257" s="288"/>
      <c r="L257" s="288">
        <f t="shared" si="40"/>
        <v>7.4105538317704882</v>
      </c>
      <c r="M257" s="288"/>
      <c r="N257" s="289">
        <f t="shared" si="43"/>
        <v>0.2</v>
      </c>
      <c r="O257" s="287">
        <f t="shared" si="47"/>
        <v>11.105734625269125</v>
      </c>
      <c r="P257" s="288"/>
      <c r="Q257" s="288">
        <f t="shared" si="38"/>
        <v>1.296</v>
      </c>
      <c r="R257" s="341">
        <f t="shared" si="44"/>
        <v>0</v>
      </c>
      <c r="S257" s="287"/>
      <c r="T257" s="287"/>
      <c r="U257" s="279">
        <f t="shared" si="45"/>
        <v>75.340961583385237</v>
      </c>
      <c r="V257" s="328" t="s">
        <v>440</v>
      </c>
      <c r="W257" s="290"/>
      <c r="X257" s="291">
        <v>2.76</v>
      </c>
    </row>
    <row r="258" spans="1:24" ht="17.25" customHeight="1">
      <c r="A258" s="283">
        <f t="shared" si="41"/>
        <v>241</v>
      </c>
      <c r="B258" s="300" t="s">
        <v>126</v>
      </c>
      <c r="C258" s="292">
        <v>1</v>
      </c>
      <c r="D258" s="293"/>
      <c r="E258" s="287">
        <f t="shared" si="39"/>
        <v>58.64713121858604</v>
      </c>
      <c r="F258" s="280">
        <f t="shared" si="42"/>
        <v>7.8267262389894823</v>
      </c>
      <c r="G258" s="288"/>
      <c r="H258" s="288"/>
      <c r="I258" s="288"/>
      <c r="J258" s="288"/>
      <c r="K258" s="288"/>
      <c r="L258" s="288">
        <f t="shared" si="40"/>
        <v>7.8267262389894823</v>
      </c>
      <c r="M258" s="288"/>
      <c r="N258" s="289">
        <f t="shared" si="43"/>
        <v>0.2</v>
      </c>
      <c r="O258" s="287">
        <f t="shared" si="47"/>
        <v>11.729426243717208</v>
      </c>
      <c r="P258" s="288"/>
      <c r="Q258" s="288">
        <f t="shared" si="38"/>
        <v>1.296</v>
      </c>
      <c r="R258" s="341">
        <f t="shared" si="44"/>
        <v>0</v>
      </c>
      <c r="S258" s="287"/>
      <c r="T258" s="287"/>
      <c r="U258" s="279">
        <f t="shared" si="45"/>
        <v>79.49928370129274</v>
      </c>
      <c r="V258" s="327" t="s">
        <v>439</v>
      </c>
      <c r="W258" s="290"/>
      <c r="X258" s="291">
        <v>2.915</v>
      </c>
    </row>
    <row r="259" spans="1:24" ht="15.75">
      <c r="A259" s="283">
        <f t="shared" si="41"/>
        <v>242</v>
      </c>
      <c r="B259" s="301" t="s">
        <v>127</v>
      </c>
      <c r="C259" s="292">
        <v>0</v>
      </c>
      <c r="D259" s="293"/>
      <c r="E259" s="287">
        <f t="shared" si="39"/>
        <v>0</v>
      </c>
      <c r="F259" s="280">
        <f t="shared" si="42"/>
        <v>0</v>
      </c>
      <c r="G259" s="288"/>
      <c r="H259" s="288"/>
      <c r="I259" s="288">
        <f>E259*0.12</f>
        <v>0</v>
      </c>
      <c r="J259" s="288"/>
      <c r="K259" s="288"/>
      <c r="L259" s="288">
        <f t="shared" si="40"/>
        <v>0</v>
      </c>
      <c r="M259" s="288"/>
      <c r="N259" s="289" t="e">
        <f t="shared" si="43"/>
        <v>#DIV/0!</v>
      </c>
      <c r="O259" s="287">
        <f>(E259+G259+H259+I259+J259)*0.15</f>
        <v>0</v>
      </c>
      <c r="P259" s="288"/>
      <c r="Q259" s="288">
        <f t="shared" si="38"/>
        <v>0</v>
      </c>
      <c r="R259" s="341">
        <f t="shared" si="44"/>
        <v>0</v>
      </c>
      <c r="S259" s="287"/>
      <c r="T259" s="287"/>
      <c r="U259" s="279">
        <f t="shared" si="45"/>
        <v>0</v>
      </c>
      <c r="V259" s="290"/>
      <c r="W259" s="290"/>
      <c r="X259" s="291">
        <v>2.2106400000000002</v>
      </c>
    </row>
    <row r="260" spans="1:24" ht="15.75">
      <c r="A260" s="283">
        <f t="shared" si="41"/>
        <v>243</v>
      </c>
      <c r="B260" s="301" t="s">
        <v>128</v>
      </c>
      <c r="C260" s="292">
        <v>3</v>
      </c>
      <c r="D260" s="293"/>
      <c r="E260" s="287">
        <f t="shared" si="39"/>
        <v>116.96632136037522</v>
      </c>
      <c r="F260" s="280">
        <f t="shared" si="42"/>
        <v>34.714186406167116</v>
      </c>
      <c r="G260" s="288"/>
      <c r="H260" s="288"/>
      <c r="I260" s="288">
        <f>E260*0.08</f>
        <v>9.3573057088300171</v>
      </c>
      <c r="J260" s="288"/>
      <c r="K260" s="288">
        <f>E260/C260*0.25</f>
        <v>9.7471934466979349</v>
      </c>
      <c r="L260" s="288">
        <f t="shared" si="40"/>
        <v>15.609687250639166</v>
      </c>
      <c r="M260" s="288"/>
      <c r="N260" s="289">
        <f t="shared" si="43"/>
        <v>0.16199999999999998</v>
      </c>
      <c r="O260" s="287">
        <f>(E260+G260+H260+I260+J260)*0.15</f>
        <v>18.948544060380783</v>
      </c>
      <c r="P260" s="288"/>
      <c r="Q260" s="288">
        <f t="shared" si="38"/>
        <v>3.8879999999999999</v>
      </c>
      <c r="R260" s="341">
        <f t="shared" si="44"/>
        <v>0</v>
      </c>
      <c r="S260" s="287"/>
      <c r="T260" s="287"/>
      <c r="U260" s="279">
        <f t="shared" si="45"/>
        <v>174.51705182692314</v>
      </c>
      <c r="V260" s="290"/>
      <c r="W260" s="290"/>
      <c r="X260" s="291">
        <v>1.9379</v>
      </c>
    </row>
    <row r="261" spans="1:24" ht="17.25" customHeight="1">
      <c r="A261" s="283">
        <f t="shared" si="41"/>
        <v>244</v>
      </c>
      <c r="B261" s="515" t="s">
        <v>129</v>
      </c>
      <c r="C261" s="292">
        <v>1</v>
      </c>
      <c r="D261" s="293"/>
      <c r="E261" s="287">
        <f t="shared" si="39"/>
        <v>78.162643150671272</v>
      </c>
      <c r="F261" s="280">
        <f t="shared" si="42"/>
        <v>10.431160013198674</v>
      </c>
      <c r="G261" s="288"/>
      <c r="H261" s="288"/>
      <c r="I261" s="288"/>
      <c r="J261" s="288"/>
      <c r="K261" s="288"/>
      <c r="L261" s="288">
        <f t="shared" si="40"/>
        <v>10.431160013198674</v>
      </c>
      <c r="M261" s="288"/>
      <c r="N261" s="289">
        <f t="shared" si="43"/>
        <v>0.2</v>
      </c>
      <c r="O261" s="287">
        <f>(E261+G261+H261+I261+J261)*0.2</f>
        <v>15.632528630134255</v>
      </c>
      <c r="P261" s="288"/>
      <c r="Q261" s="288">
        <f t="shared" si="38"/>
        <v>1.296</v>
      </c>
      <c r="R261" s="341">
        <f t="shared" si="44"/>
        <v>0</v>
      </c>
      <c r="S261" s="287"/>
      <c r="T261" s="287"/>
      <c r="U261" s="279">
        <f t="shared" si="45"/>
        <v>105.52233179400422</v>
      </c>
      <c r="V261" s="327" t="s">
        <v>439</v>
      </c>
      <c r="W261" s="290"/>
      <c r="X261" s="291">
        <v>3.8849999999999998</v>
      </c>
    </row>
    <row r="262" spans="1:24" ht="17.25" customHeight="1">
      <c r="A262" s="283">
        <f t="shared" si="41"/>
        <v>245</v>
      </c>
      <c r="B262" s="303" t="s">
        <v>130</v>
      </c>
      <c r="C262" s="292">
        <v>1</v>
      </c>
      <c r="D262" s="293"/>
      <c r="E262" s="287">
        <f t="shared" si="39"/>
        <v>61.966780155487143</v>
      </c>
      <c r="F262" s="280">
        <f t="shared" si="42"/>
        <v>8.2697484789322839</v>
      </c>
      <c r="G262" s="288"/>
      <c r="H262" s="288"/>
      <c r="I262" s="288"/>
      <c r="J262" s="288"/>
      <c r="K262" s="288"/>
      <c r="L262" s="288">
        <f t="shared" si="40"/>
        <v>8.2697484789322839</v>
      </c>
      <c r="M262" s="288"/>
      <c r="N262" s="289">
        <f t="shared" si="43"/>
        <v>0.2</v>
      </c>
      <c r="O262" s="287">
        <f>(E262+G262+H262+I262+J262)*0.2</f>
        <v>12.393356031097429</v>
      </c>
      <c r="P262" s="288"/>
      <c r="Q262" s="288">
        <f t="shared" si="38"/>
        <v>1.296</v>
      </c>
      <c r="R262" s="341">
        <f t="shared" si="44"/>
        <v>0</v>
      </c>
      <c r="S262" s="287"/>
      <c r="T262" s="287"/>
      <c r="U262" s="279">
        <f t="shared" si="45"/>
        <v>83.925884665516861</v>
      </c>
      <c r="V262" s="328" t="s">
        <v>440</v>
      </c>
      <c r="W262" s="290"/>
      <c r="X262" s="291">
        <v>3.08</v>
      </c>
    </row>
    <row r="263" spans="1:24" ht="17.25" customHeight="1">
      <c r="A263" s="283">
        <f t="shared" si="41"/>
        <v>246</v>
      </c>
      <c r="B263" s="304" t="s">
        <v>131</v>
      </c>
      <c r="C263" s="292">
        <v>2</v>
      </c>
      <c r="D263" s="293"/>
      <c r="E263" s="287">
        <f t="shared" si="39"/>
        <v>123.93356031097429</v>
      </c>
      <c r="F263" s="280">
        <f t="shared" si="42"/>
        <v>16.539496957864568</v>
      </c>
      <c r="G263" s="288"/>
      <c r="H263" s="288"/>
      <c r="I263" s="288"/>
      <c r="J263" s="288"/>
      <c r="K263" s="288"/>
      <c r="L263" s="288">
        <f t="shared" si="40"/>
        <v>16.539496957864568</v>
      </c>
      <c r="M263" s="288"/>
      <c r="N263" s="289">
        <f t="shared" si="43"/>
        <v>0.2</v>
      </c>
      <c r="O263" s="287">
        <f>(E263+G263+H263+I263+J263)*0.2</f>
        <v>24.786712062194859</v>
      </c>
      <c r="P263" s="288"/>
      <c r="Q263" s="288">
        <f t="shared" si="38"/>
        <v>2.5920000000000001</v>
      </c>
      <c r="R263" s="341">
        <f t="shared" si="44"/>
        <v>0</v>
      </c>
      <c r="S263" s="287"/>
      <c r="T263" s="287"/>
      <c r="U263" s="279">
        <f t="shared" si="45"/>
        <v>167.85176933103372</v>
      </c>
      <c r="V263" s="328" t="s">
        <v>440</v>
      </c>
      <c r="W263" s="290"/>
      <c r="X263" s="291">
        <v>3.08</v>
      </c>
    </row>
    <row r="264" spans="1:24" ht="15.75">
      <c r="A264" s="283">
        <f t="shared" si="41"/>
        <v>247</v>
      </c>
      <c r="B264" s="295" t="s">
        <v>132</v>
      </c>
      <c r="C264" s="292">
        <v>3</v>
      </c>
      <c r="D264" s="293"/>
      <c r="E264" s="287">
        <f t="shared" si="39"/>
        <v>133.42815865220072</v>
      </c>
      <c r="F264" s="280">
        <f t="shared" si="42"/>
        <v>17.806594263766424</v>
      </c>
      <c r="G264" s="288"/>
      <c r="H264" s="288"/>
      <c r="I264" s="288"/>
      <c r="J264" s="288"/>
      <c r="K264" s="288"/>
      <c r="L264" s="288">
        <f t="shared" si="40"/>
        <v>17.806594263766424</v>
      </c>
      <c r="M264" s="288"/>
      <c r="N264" s="289">
        <f t="shared" si="43"/>
        <v>0.3</v>
      </c>
      <c r="O264" s="287">
        <f>(E264+G264+H264+I264+J264)*0.3</f>
        <v>40.028447595660218</v>
      </c>
      <c r="P264" s="288"/>
      <c r="Q264" s="288">
        <f t="shared" si="38"/>
        <v>3.8879999999999999</v>
      </c>
      <c r="R264" s="341">
        <f t="shared" si="44"/>
        <v>0</v>
      </c>
      <c r="S264" s="287"/>
      <c r="T264" s="287"/>
      <c r="U264" s="279">
        <f t="shared" si="45"/>
        <v>195.15120051162737</v>
      </c>
      <c r="V264" s="290"/>
      <c r="W264" s="290"/>
      <c r="X264" s="291">
        <v>2.2106400000000002</v>
      </c>
    </row>
    <row r="265" spans="1:24" ht="17.25" customHeight="1">
      <c r="A265" s="283">
        <f t="shared" si="41"/>
        <v>248</v>
      </c>
      <c r="B265" s="295" t="s">
        <v>133</v>
      </c>
      <c r="C265" s="292">
        <v>20</v>
      </c>
      <c r="D265" s="293"/>
      <c r="E265" s="287">
        <f t="shared" si="39"/>
        <v>693.13465039116272</v>
      </c>
      <c r="F265" s="280">
        <f t="shared" si="42"/>
        <v>116.76168247043859</v>
      </c>
      <c r="G265" s="288"/>
      <c r="H265" s="288"/>
      <c r="I265" s="288"/>
      <c r="J265" s="288"/>
      <c r="K265" s="288">
        <f>E265/C265*0.35*2</f>
        <v>24.259712763690693</v>
      </c>
      <c r="L265" s="288">
        <f t="shared" si="40"/>
        <v>92.501969706747886</v>
      </c>
      <c r="M265" s="288"/>
      <c r="N265" s="289">
        <f t="shared" si="43"/>
        <v>0.15</v>
      </c>
      <c r="O265" s="287">
        <f>(E265+G265+H265+I265+J265)*0.15</f>
        <v>103.9701975586744</v>
      </c>
      <c r="P265" s="288"/>
      <c r="Q265" s="288">
        <f t="shared" si="38"/>
        <v>25.92</v>
      </c>
      <c r="R265" s="341">
        <f t="shared" si="44"/>
        <v>0</v>
      </c>
      <c r="S265" s="287"/>
      <c r="T265" s="287"/>
      <c r="U265" s="279">
        <f t="shared" si="45"/>
        <v>939.78653042027565</v>
      </c>
      <c r="V265" s="290"/>
      <c r="W265" s="290"/>
      <c r="X265" s="291">
        <v>1.72258</v>
      </c>
    </row>
    <row r="266" spans="1:24" ht="31.5">
      <c r="A266" s="283">
        <f t="shared" si="41"/>
        <v>249</v>
      </c>
      <c r="B266" s="515" t="s">
        <v>134</v>
      </c>
      <c r="C266" s="292">
        <v>1</v>
      </c>
      <c r="D266" s="293"/>
      <c r="E266" s="287">
        <f t="shared" si="39"/>
        <v>81.281101242911703</v>
      </c>
      <c r="F266" s="280">
        <f t="shared" ref="F266:F275" si="48">SUM(G266:M266)</f>
        <v>10.847332420417672</v>
      </c>
      <c r="G266" s="288"/>
      <c r="H266" s="288"/>
      <c r="I266" s="288"/>
      <c r="J266" s="288"/>
      <c r="K266" s="288"/>
      <c r="L266" s="288">
        <f t="shared" si="40"/>
        <v>10.847332420417672</v>
      </c>
      <c r="M266" s="288"/>
      <c r="N266" s="289">
        <f t="shared" si="43"/>
        <v>0.2</v>
      </c>
      <c r="O266" s="287">
        <f>(E266+G266+H266+I266+J266)*0.2</f>
        <v>16.256220248582341</v>
      </c>
      <c r="P266" s="288"/>
      <c r="Q266" s="288">
        <f t="shared" si="38"/>
        <v>1.296</v>
      </c>
      <c r="R266" s="341">
        <f t="shared" ref="R266:R306" si="49">SUM(S266:T266)</f>
        <v>0</v>
      </c>
      <c r="S266" s="287"/>
      <c r="T266" s="287"/>
      <c r="U266" s="279">
        <f t="shared" si="45"/>
        <v>109.68065391191172</v>
      </c>
      <c r="V266" s="327" t="s">
        <v>439</v>
      </c>
      <c r="W266" s="290"/>
      <c r="X266" s="291">
        <v>4.04</v>
      </c>
    </row>
    <row r="267" spans="1:24" ht="17.25" customHeight="1">
      <c r="A267" s="283">
        <f t="shared" si="41"/>
        <v>250</v>
      </c>
      <c r="B267" s="303" t="s">
        <v>1059</v>
      </c>
      <c r="C267" s="292">
        <v>1</v>
      </c>
      <c r="D267" s="293"/>
      <c r="E267" s="287">
        <f t="shared" si="39"/>
        <v>55.528673126345623</v>
      </c>
      <c r="F267" s="280">
        <f t="shared" si="48"/>
        <v>7.4105538317704882</v>
      </c>
      <c r="G267" s="288"/>
      <c r="H267" s="288"/>
      <c r="I267" s="288"/>
      <c r="J267" s="288"/>
      <c r="K267" s="288"/>
      <c r="L267" s="288">
        <f t="shared" si="40"/>
        <v>7.4105538317704882</v>
      </c>
      <c r="M267" s="288"/>
      <c r="N267" s="289">
        <f t="shared" si="43"/>
        <v>0.2</v>
      </c>
      <c r="O267" s="287">
        <f>(E267+G267+H267+I267+J267)*0.2</f>
        <v>11.105734625269125</v>
      </c>
      <c r="P267" s="288"/>
      <c r="Q267" s="288">
        <f t="shared" si="38"/>
        <v>1.296</v>
      </c>
      <c r="R267" s="341">
        <f t="shared" si="49"/>
        <v>0</v>
      </c>
      <c r="S267" s="287"/>
      <c r="T267" s="287"/>
      <c r="U267" s="279">
        <f t="shared" si="45"/>
        <v>75.340961583385237</v>
      </c>
      <c r="V267" s="328" t="s">
        <v>440</v>
      </c>
      <c r="W267" s="290"/>
      <c r="X267" s="291">
        <v>2.76</v>
      </c>
    </row>
    <row r="268" spans="1:24" ht="15.75">
      <c r="A268" s="283">
        <f t="shared" si="41"/>
        <v>251</v>
      </c>
      <c r="B268" s="303" t="s">
        <v>135</v>
      </c>
      <c r="C268" s="292">
        <v>1</v>
      </c>
      <c r="D268" s="293"/>
      <c r="E268" s="287">
        <f t="shared" si="39"/>
        <v>58.64713121858604</v>
      </c>
      <c r="F268" s="280">
        <f t="shared" si="48"/>
        <v>7.8267262389894823</v>
      </c>
      <c r="G268" s="288"/>
      <c r="H268" s="288"/>
      <c r="I268" s="288"/>
      <c r="J268" s="288"/>
      <c r="K268" s="288"/>
      <c r="L268" s="288">
        <f t="shared" si="40"/>
        <v>7.8267262389894823</v>
      </c>
      <c r="M268" s="288"/>
      <c r="N268" s="289">
        <f t="shared" si="43"/>
        <v>0.2</v>
      </c>
      <c r="O268" s="287">
        <f>(E268+G268+H268+I268+J268)*0.2</f>
        <v>11.729426243717208</v>
      </c>
      <c r="P268" s="288"/>
      <c r="Q268" s="288">
        <f t="shared" si="38"/>
        <v>1.296</v>
      </c>
      <c r="R268" s="341">
        <f t="shared" si="49"/>
        <v>0</v>
      </c>
      <c r="S268" s="287"/>
      <c r="T268" s="287"/>
      <c r="U268" s="279">
        <f t="shared" si="45"/>
        <v>79.49928370129274</v>
      </c>
      <c r="V268" s="327" t="s">
        <v>439</v>
      </c>
      <c r="W268" s="290"/>
      <c r="X268" s="291">
        <v>2.915</v>
      </c>
    </row>
    <row r="269" spans="1:24" ht="15.75">
      <c r="A269" s="283">
        <f t="shared" si="41"/>
        <v>252</v>
      </c>
      <c r="B269" s="295" t="s">
        <v>132</v>
      </c>
      <c r="C269" s="292">
        <v>7</v>
      </c>
      <c r="D269" s="293"/>
      <c r="E269" s="287">
        <f t="shared" si="39"/>
        <v>311.33237018846847</v>
      </c>
      <c r="F269" s="280">
        <f t="shared" si="48"/>
        <v>41.548719948788339</v>
      </c>
      <c r="G269" s="288"/>
      <c r="H269" s="288"/>
      <c r="I269" s="288"/>
      <c r="J269" s="288"/>
      <c r="K269" s="288"/>
      <c r="L269" s="288">
        <f t="shared" si="40"/>
        <v>41.548719948788339</v>
      </c>
      <c r="M269" s="288"/>
      <c r="N269" s="289">
        <f t="shared" si="43"/>
        <v>0.2</v>
      </c>
      <c r="O269" s="287">
        <f>(E269+G269+H269+I269+J269)*0.2</f>
        <v>62.266474037693698</v>
      </c>
      <c r="P269" s="288"/>
      <c r="Q269" s="288">
        <f t="shared" si="38"/>
        <v>9.072000000000001</v>
      </c>
      <c r="R269" s="341">
        <f t="shared" si="49"/>
        <v>0</v>
      </c>
      <c r="S269" s="287"/>
      <c r="T269" s="287"/>
      <c r="U269" s="279">
        <f t="shared" si="45"/>
        <v>424.21956417495051</v>
      </c>
      <c r="V269" s="290"/>
      <c r="W269" s="290"/>
      <c r="X269" s="291">
        <v>2.2106400000000002</v>
      </c>
    </row>
    <row r="270" spans="1:24" ht="17.25" customHeight="1">
      <c r="A270" s="283">
        <f t="shared" si="41"/>
        <v>253</v>
      </c>
      <c r="B270" s="295" t="s">
        <v>133</v>
      </c>
      <c r="C270" s="292">
        <v>13</v>
      </c>
      <c r="D270" s="293"/>
      <c r="E270" s="287">
        <f t="shared" si="39"/>
        <v>450.53752275425558</v>
      </c>
      <c r="F270" s="280">
        <f t="shared" si="48"/>
        <v>77.454646569165163</v>
      </c>
      <c r="G270" s="288"/>
      <c r="H270" s="288"/>
      <c r="I270" s="288"/>
      <c r="J270" s="288"/>
      <c r="K270" s="288">
        <f>E270/C270*0.25*2</f>
        <v>17.32836625977906</v>
      </c>
      <c r="L270" s="288">
        <f t="shared" si="40"/>
        <v>60.126280309386104</v>
      </c>
      <c r="M270" s="288"/>
      <c r="N270" s="289">
        <f t="shared" si="43"/>
        <v>0.15</v>
      </c>
      <c r="O270" s="287">
        <f t="shared" ref="O270:O275" si="50">(E270+G270+H270+I270+J270)*0.15</f>
        <v>67.580628413138328</v>
      </c>
      <c r="P270" s="288"/>
      <c r="Q270" s="288">
        <f t="shared" ref="Q270:Q333" si="51">0.216*6*C270</f>
        <v>16.847999999999999</v>
      </c>
      <c r="R270" s="341">
        <f t="shared" si="49"/>
        <v>0</v>
      </c>
      <c r="S270" s="287"/>
      <c r="T270" s="287"/>
      <c r="U270" s="279">
        <f t="shared" si="45"/>
        <v>612.42079773655905</v>
      </c>
      <c r="V270" s="290"/>
      <c r="W270" s="290"/>
      <c r="X270" s="291">
        <v>1.72258</v>
      </c>
    </row>
    <row r="271" spans="1:24" ht="17.25" customHeight="1">
      <c r="A271" s="283">
        <f t="shared" si="41"/>
        <v>254</v>
      </c>
      <c r="B271" s="295" t="s">
        <v>136</v>
      </c>
      <c r="C271" s="292">
        <v>1</v>
      </c>
      <c r="D271" s="293"/>
      <c r="E271" s="287">
        <f t="shared" ref="E271:E334" si="52">X271*11*(C271-D271)*1.063*1.13045*1.1611*1.0487*1.25</f>
        <v>38.988773786791725</v>
      </c>
      <c r="F271" s="280">
        <f t="shared" si="48"/>
        <v>5.203229083546387</v>
      </c>
      <c r="G271" s="288"/>
      <c r="H271" s="288"/>
      <c r="I271" s="288"/>
      <c r="J271" s="288"/>
      <c r="K271" s="288"/>
      <c r="L271" s="288">
        <f t="shared" ref="L271:L336" si="53">E271/11*1.468</f>
        <v>5.203229083546387</v>
      </c>
      <c r="M271" s="288"/>
      <c r="N271" s="289">
        <f t="shared" si="43"/>
        <v>0.15</v>
      </c>
      <c r="O271" s="287">
        <f t="shared" si="50"/>
        <v>5.8483160680187583</v>
      </c>
      <c r="P271" s="288"/>
      <c r="Q271" s="288">
        <f t="shared" si="51"/>
        <v>1.296</v>
      </c>
      <c r="R271" s="341"/>
      <c r="S271" s="287"/>
      <c r="T271" s="287"/>
      <c r="U271" s="279">
        <f t="shared" si="45"/>
        <v>51.336318938356875</v>
      </c>
      <c r="V271" s="290"/>
      <c r="W271" s="290"/>
      <c r="X271" s="291">
        <v>1.9379</v>
      </c>
    </row>
    <row r="272" spans="1:24" ht="31.5">
      <c r="A272" s="283">
        <f t="shared" si="41"/>
        <v>255</v>
      </c>
      <c r="B272" s="295" t="s">
        <v>137</v>
      </c>
      <c r="C272" s="292">
        <v>1</v>
      </c>
      <c r="D272" s="293"/>
      <c r="E272" s="287">
        <f t="shared" si="52"/>
        <v>38.988773786791725</v>
      </c>
      <c r="F272" s="280">
        <f t="shared" si="48"/>
        <v>18.069524433187656</v>
      </c>
      <c r="G272" s="288"/>
      <c r="H272" s="288"/>
      <c r="I272" s="288">
        <f>E272*0.08</f>
        <v>3.119101902943338</v>
      </c>
      <c r="J272" s="288"/>
      <c r="K272" s="288">
        <f>E272/C272*0.25</f>
        <v>9.7471934466979313</v>
      </c>
      <c r="L272" s="288">
        <f t="shared" si="53"/>
        <v>5.203229083546387</v>
      </c>
      <c r="M272" s="288"/>
      <c r="N272" s="289">
        <f t="shared" si="43"/>
        <v>0.16199999999999998</v>
      </c>
      <c r="O272" s="287">
        <f t="shared" si="50"/>
        <v>6.3161813534602587</v>
      </c>
      <c r="P272" s="288"/>
      <c r="Q272" s="288">
        <f t="shared" si="51"/>
        <v>1.296</v>
      </c>
      <c r="R272" s="341">
        <f>SUM(S272:T272)</f>
        <v>0</v>
      </c>
      <c r="S272" s="287"/>
      <c r="T272" s="287"/>
      <c r="U272" s="279">
        <f t="shared" si="45"/>
        <v>64.670479573439636</v>
      </c>
      <c r="V272" s="290"/>
      <c r="W272" s="290"/>
      <c r="X272" s="291">
        <v>1.9379</v>
      </c>
    </row>
    <row r="273" spans="1:24" ht="31.5">
      <c r="A273" s="283">
        <f t="shared" si="41"/>
        <v>256</v>
      </c>
      <c r="B273" s="295" t="s">
        <v>137</v>
      </c>
      <c r="C273" s="292">
        <v>4</v>
      </c>
      <c r="D273" s="293"/>
      <c r="E273" s="287">
        <f t="shared" si="52"/>
        <v>155.9550951471669</v>
      </c>
      <c r="F273" s="280">
        <f>SUM(G273:M273)</f>
        <v>33.289323945958898</v>
      </c>
      <c r="G273" s="288"/>
      <c r="H273" s="288"/>
      <c r="I273" s="288">
        <f>E273*0.08</f>
        <v>12.476407611773352</v>
      </c>
      <c r="J273" s="288"/>
      <c r="K273" s="288"/>
      <c r="L273" s="288">
        <f t="shared" si="53"/>
        <v>20.812916334185548</v>
      </c>
      <c r="M273" s="288"/>
      <c r="N273" s="289">
        <f t="shared" si="43"/>
        <v>0.16199999999999998</v>
      </c>
      <c r="O273" s="287">
        <f t="shared" si="50"/>
        <v>25.264725413841035</v>
      </c>
      <c r="P273" s="288"/>
      <c r="Q273" s="288">
        <f t="shared" si="51"/>
        <v>5.1840000000000002</v>
      </c>
      <c r="R273" s="341">
        <f>SUM(S273:T273)</f>
        <v>0</v>
      </c>
      <c r="S273" s="287"/>
      <c r="T273" s="287"/>
      <c r="U273" s="279">
        <f t="shared" si="45"/>
        <v>219.69314450696683</v>
      </c>
      <c r="V273" s="290"/>
      <c r="W273" s="290"/>
      <c r="X273" s="291">
        <v>1.9379</v>
      </c>
    </row>
    <row r="274" spans="1:24" ht="15.75">
      <c r="A274" s="283">
        <f t="shared" si="41"/>
        <v>257</v>
      </c>
      <c r="B274" s="295" t="s">
        <v>1387</v>
      </c>
      <c r="C274" s="292">
        <v>1</v>
      </c>
      <c r="D274" s="293"/>
      <c r="E274" s="287">
        <f t="shared" si="52"/>
        <v>44.476052884066917</v>
      </c>
      <c r="F274" s="280">
        <f>SUM(G274:M274)</f>
        <v>11.272657767343507</v>
      </c>
      <c r="G274" s="288"/>
      <c r="H274" s="288"/>
      <c r="I274" s="288">
        <f>E274*0.12</f>
        <v>5.3371263460880298</v>
      </c>
      <c r="J274" s="288"/>
      <c r="K274" s="288"/>
      <c r="L274" s="288">
        <f t="shared" si="53"/>
        <v>5.9355314212554759</v>
      </c>
      <c r="M274" s="288"/>
      <c r="N274" s="289">
        <f t="shared" si="43"/>
        <v>0.16799999999999998</v>
      </c>
      <c r="O274" s="287">
        <f t="shared" si="50"/>
        <v>7.471976884523241</v>
      </c>
      <c r="P274" s="288"/>
      <c r="Q274" s="288">
        <f t="shared" si="51"/>
        <v>1.296</v>
      </c>
      <c r="R274" s="341">
        <f>SUM(S274:T274)</f>
        <v>0</v>
      </c>
      <c r="S274" s="287"/>
      <c r="T274" s="287"/>
      <c r="U274" s="279">
        <f t="shared" si="45"/>
        <v>64.51668753593367</v>
      </c>
      <c r="V274" s="290"/>
      <c r="W274" s="290"/>
      <c r="X274" s="291">
        <v>2.2106400000000002</v>
      </c>
    </row>
    <row r="275" spans="1:24" ht="15.75">
      <c r="A275" s="283">
        <f t="shared" si="41"/>
        <v>258</v>
      </c>
      <c r="B275" s="295" t="s">
        <v>1387</v>
      </c>
      <c r="C275" s="292">
        <v>1</v>
      </c>
      <c r="D275" s="293"/>
      <c r="E275" s="287">
        <f t="shared" si="52"/>
        <v>44.476052884066917</v>
      </c>
      <c r="F275" s="280">
        <f t="shared" si="48"/>
        <v>11.272657767343507</v>
      </c>
      <c r="G275" s="288"/>
      <c r="H275" s="288"/>
      <c r="I275" s="288">
        <f>E275*0.12</f>
        <v>5.3371263460880298</v>
      </c>
      <c r="J275" s="288"/>
      <c r="K275" s="288"/>
      <c r="L275" s="288">
        <f t="shared" si="53"/>
        <v>5.9355314212554759</v>
      </c>
      <c r="M275" s="288"/>
      <c r="N275" s="289">
        <f t="shared" si="43"/>
        <v>0.16799999999999998</v>
      </c>
      <c r="O275" s="287">
        <f t="shared" si="50"/>
        <v>7.471976884523241</v>
      </c>
      <c r="P275" s="288"/>
      <c r="Q275" s="288">
        <f t="shared" si="51"/>
        <v>1.296</v>
      </c>
      <c r="R275" s="341">
        <f>SUM(S275:T275)</f>
        <v>0</v>
      </c>
      <c r="S275" s="287"/>
      <c r="T275" s="287"/>
      <c r="U275" s="279">
        <f t="shared" si="45"/>
        <v>64.51668753593367</v>
      </c>
      <c r="V275" s="290"/>
      <c r="W275" s="290"/>
      <c r="X275" s="291">
        <v>2.2106400000000002</v>
      </c>
    </row>
    <row r="276" spans="1:24" ht="15.75">
      <c r="A276" s="283">
        <f t="shared" si="41"/>
        <v>259</v>
      </c>
      <c r="B276" s="513" t="s">
        <v>138</v>
      </c>
      <c r="C276" s="292">
        <v>1</v>
      </c>
      <c r="D276" s="293"/>
      <c r="E276" s="287">
        <f t="shared" si="52"/>
        <v>80.476337864269013</v>
      </c>
      <c r="F276" s="280">
        <f t="shared" si="42"/>
        <v>10.739933089522447</v>
      </c>
      <c r="G276" s="288"/>
      <c r="H276" s="288"/>
      <c r="I276" s="288"/>
      <c r="J276" s="288"/>
      <c r="K276" s="288"/>
      <c r="L276" s="288">
        <f t="shared" si="53"/>
        <v>10.739933089522447</v>
      </c>
      <c r="M276" s="288"/>
      <c r="N276" s="289">
        <f t="shared" si="43"/>
        <v>0.2</v>
      </c>
      <c r="O276" s="287">
        <f>(E276+G276+H276+I276+J276)*0.2</f>
        <v>16.095267572853803</v>
      </c>
      <c r="P276" s="288"/>
      <c r="Q276" s="288">
        <f t="shared" si="51"/>
        <v>1.296</v>
      </c>
      <c r="R276" s="341">
        <f t="shared" si="49"/>
        <v>0</v>
      </c>
      <c r="S276" s="287"/>
      <c r="T276" s="287"/>
      <c r="U276" s="279">
        <f t="shared" si="45"/>
        <v>108.60753852664527</v>
      </c>
      <c r="V276" s="327" t="s">
        <v>439</v>
      </c>
      <c r="W276" s="290"/>
      <c r="X276" s="291">
        <v>4</v>
      </c>
    </row>
    <row r="277" spans="1:24" ht="17.25" customHeight="1">
      <c r="A277" s="283">
        <f t="shared" si="41"/>
        <v>260</v>
      </c>
      <c r="B277" s="284" t="s">
        <v>139</v>
      </c>
      <c r="C277" s="292">
        <v>1</v>
      </c>
      <c r="D277" s="293"/>
      <c r="E277" s="287">
        <f t="shared" si="52"/>
        <v>55.528673126345623</v>
      </c>
      <c r="F277" s="280">
        <f t="shared" si="42"/>
        <v>7.4105538317704882</v>
      </c>
      <c r="G277" s="288"/>
      <c r="H277" s="288"/>
      <c r="I277" s="288"/>
      <c r="J277" s="288"/>
      <c r="K277" s="288"/>
      <c r="L277" s="288">
        <f t="shared" si="53"/>
        <v>7.4105538317704882</v>
      </c>
      <c r="M277" s="288"/>
      <c r="N277" s="289">
        <f t="shared" si="43"/>
        <v>0.2</v>
      </c>
      <c r="O277" s="287">
        <f>(E277+G277+H277+I277+J277)*0.2</f>
        <v>11.105734625269125</v>
      </c>
      <c r="P277" s="288"/>
      <c r="Q277" s="288">
        <f t="shared" si="51"/>
        <v>1.296</v>
      </c>
      <c r="R277" s="341">
        <f t="shared" si="49"/>
        <v>0</v>
      </c>
      <c r="S277" s="287"/>
      <c r="T277" s="287"/>
      <c r="U277" s="279">
        <f t="shared" si="45"/>
        <v>75.340961583385237</v>
      </c>
      <c r="V277" s="329" t="s">
        <v>441</v>
      </c>
      <c r="W277" s="290"/>
      <c r="X277" s="291">
        <v>2.76</v>
      </c>
    </row>
    <row r="278" spans="1:24" ht="17.25" customHeight="1">
      <c r="A278" s="283">
        <f t="shared" si="41"/>
        <v>261</v>
      </c>
      <c r="B278" s="295" t="s">
        <v>66</v>
      </c>
      <c r="C278" s="292">
        <v>2</v>
      </c>
      <c r="D278" s="293"/>
      <c r="E278" s="287">
        <f t="shared" si="52"/>
        <v>99.626487222450464</v>
      </c>
      <c r="F278" s="280">
        <f t="shared" si="42"/>
        <v>13.295607567505208</v>
      </c>
      <c r="G278" s="288"/>
      <c r="H278" s="288"/>
      <c r="I278" s="288"/>
      <c r="J278" s="288"/>
      <c r="K278" s="288"/>
      <c r="L278" s="288">
        <f t="shared" si="53"/>
        <v>13.295607567505208</v>
      </c>
      <c r="M278" s="288"/>
      <c r="N278" s="289">
        <f t="shared" si="43"/>
        <v>0.15</v>
      </c>
      <c r="O278" s="517">
        <f>(E278+G278+H278+I278+J278)*0.15</f>
        <v>14.943973083367569</v>
      </c>
      <c r="P278" s="288"/>
      <c r="Q278" s="288">
        <f t="shared" si="51"/>
        <v>2.5920000000000001</v>
      </c>
      <c r="R278" s="341">
        <f t="shared" si="49"/>
        <v>0</v>
      </c>
      <c r="S278" s="287"/>
      <c r="T278" s="287"/>
      <c r="U278" s="279">
        <f t="shared" si="45"/>
        <v>130.45806787332324</v>
      </c>
      <c r="V278" s="290"/>
      <c r="W278" s="290"/>
      <c r="X278" s="291">
        <v>2.4759199999999999</v>
      </c>
    </row>
    <row r="279" spans="1:24" ht="17.25" customHeight="1">
      <c r="A279" s="283">
        <f t="shared" si="41"/>
        <v>262</v>
      </c>
      <c r="B279" s="295" t="s">
        <v>140</v>
      </c>
      <c r="C279" s="292">
        <v>1</v>
      </c>
      <c r="D279" s="293"/>
      <c r="E279" s="287">
        <f t="shared" si="52"/>
        <v>49.813243611225232</v>
      </c>
      <c r="F279" s="280">
        <f t="shared" si="42"/>
        <v>6.6478037837526038</v>
      </c>
      <c r="G279" s="288"/>
      <c r="H279" s="288"/>
      <c r="I279" s="288"/>
      <c r="J279" s="288"/>
      <c r="K279" s="288"/>
      <c r="L279" s="288">
        <f t="shared" si="53"/>
        <v>6.6478037837526038</v>
      </c>
      <c r="M279" s="288"/>
      <c r="N279" s="289">
        <f t="shared" si="43"/>
        <v>0.15</v>
      </c>
      <c r="O279" s="287">
        <f>(E279+G279+H279+I279+J279)*0.15</f>
        <v>7.4719865416837843</v>
      </c>
      <c r="P279" s="288"/>
      <c r="Q279" s="288">
        <f t="shared" si="51"/>
        <v>1.296</v>
      </c>
      <c r="R279" s="341">
        <f t="shared" si="49"/>
        <v>0</v>
      </c>
      <c r="S279" s="287"/>
      <c r="T279" s="287"/>
      <c r="U279" s="279">
        <f t="shared" si="45"/>
        <v>65.229033936661622</v>
      </c>
      <c r="V279" s="290"/>
      <c r="W279" s="290"/>
      <c r="X279" s="291">
        <v>2.4759199999999999</v>
      </c>
    </row>
    <row r="280" spans="1:24" ht="17.25" customHeight="1">
      <c r="A280" s="283">
        <f t="shared" ref="A280:A343" si="54">A279+1</f>
        <v>263</v>
      </c>
      <c r="B280" s="295" t="s">
        <v>141</v>
      </c>
      <c r="C280" s="292">
        <v>1</v>
      </c>
      <c r="D280" s="293"/>
      <c r="E280" s="287">
        <f t="shared" si="52"/>
        <v>38.988773786791725</v>
      </c>
      <c r="F280" s="280">
        <f t="shared" si="42"/>
        <v>5.203229083546387</v>
      </c>
      <c r="G280" s="288"/>
      <c r="H280" s="288"/>
      <c r="I280" s="288"/>
      <c r="J280" s="288"/>
      <c r="K280" s="288"/>
      <c r="L280" s="288">
        <f t="shared" si="53"/>
        <v>5.203229083546387</v>
      </c>
      <c r="M280" s="288"/>
      <c r="N280" s="289">
        <f t="shared" si="43"/>
        <v>0.15</v>
      </c>
      <c r="O280" s="287">
        <f>(E280+G280+H280+I280+J280)*0.15</f>
        <v>5.8483160680187583</v>
      </c>
      <c r="P280" s="288"/>
      <c r="Q280" s="288">
        <f t="shared" si="51"/>
        <v>1.296</v>
      </c>
      <c r="R280" s="341">
        <f t="shared" si="49"/>
        <v>0</v>
      </c>
      <c r="S280" s="287"/>
      <c r="T280" s="287"/>
      <c r="U280" s="279">
        <f t="shared" si="45"/>
        <v>51.336318938356875</v>
      </c>
      <c r="V280" s="290"/>
      <c r="W280" s="290"/>
      <c r="X280" s="291">
        <v>1.9379</v>
      </c>
    </row>
    <row r="281" spans="1:24" ht="17.25" customHeight="1">
      <c r="A281" s="283">
        <f t="shared" si="54"/>
        <v>264</v>
      </c>
      <c r="B281" s="295" t="s">
        <v>142</v>
      </c>
      <c r="C281" s="292">
        <v>1</v>
      </c>
      <c r="D281" s="293"/>
      <c r="E281" s="287">
        <f t="shared" si="52"/>
        <v>44.476052884066917</v>
      </c>
      <c r="F281" s="280">
        <f t="shared" si="42"/>
        <v>17.054544642272205</v>
      </c>
      <c r="G281" s="288"/>
      <c r="H281" s="288"/>
      <c r="I281" s="288"/>
      <c r="J281" s="288"/>
      <c r="K281" s="288">
        <f>E281*0.25/C281</f>
        <v>11.119013221016729</v>
      </c>
      <c r="L281" s="288">
        <f t="shared" si="53"/>
        <v>5.9355314212554759</v>
      </c>
      <c r="M281" s="288"/>
      <c r="N281" s="289">
        <f t="shared" si="43"/>
        <v>0.15</v>
      </c>
      <c r="O281" s="287">
        <f t="shared" ref="O281:O294" si="55">(E281+G281+H281+I281+J281)*0.15</f>
        <v>6.6714079326100375</v>
      </c>
      <c r="P281" s="288"/>
      <c r="Q281" s="288">
        <f t="shared" si="51"/>
        <v>1.296</v>
      </c>
      <c r="R281" s="341">
        <f t="shared" si="49"/>
        <v>0</v>
      </c>
      <c r="S281" s="287"/>
      <c r="T281" s="287"/>
      <c r="U281" s="279">
        <f t="shared" si="45"/>
        <v>69.498005458949166</v>
      </c>
      <c r="V281" s="290"/>
      <c r="W281" s="290"/>
      <c r="X281" s="291">
        <v>2.2106400000000002</v>
      </c>
    </row>
    <row r="282" spans="1:24" ht="15.75">
      <c r="A282" s="283">
        <f t="shared" si="54"/>
        <v>265</v>
      </c>
      <c r="B282" s="295" t="s">
        <v>143</v>
      </c>
      <c r="C282" s="292">
        <v>1</v>
      </c>
      <c r="D282" s="293"/>
      <c r="E282" s="287">
        <f t="shared" si="52"/>
        <v>38.988773786791725</v>
      </c>
      <c r="F282" s="280">
        <f t="shared" si="42"/>
        <v>16.509973481715988</v>
      </c>
      <c r="G282" s="288"/>
      <c r="H282" s="288"/>
      <c r="I282" s="288">
        <f>E282*0.04</f>
        <v>1.559550951471669</v>
      </c>
      <c r="J282" s="288"/>
      <c r="K282" s="288">
        <f>E282*0.25/C282</f>
        <v>9.7471934466979313</v>
      </c>
      <c r="L282" s="288">
        <f t="shared" si="53"/>
        <v>5.203229083546387</v>
      </c>
      <c r="M282" s="288"/>
      <c r="N282" s="289">
        <f t="shared" si="43"/>
        <v>0.156</v>
      </c>
      <c r="O282" s="287">
        <f t="shared" si="55"/>
        <v>6.0822487107395089</v>
      </c>
      <c r="P282" s="288"/>
      <c r="Q282" s="288">
        <f t="shared" si="51"/>
        <v>1.296</v>
      </c>
      <c r="R282" s="341">
        <f t="shared" si="49"/>
        <v>0</v>
      </c>
      <c r="S282" s="287"/>
      <c r="T282" s="287"/>
      <c r="U282" s="279">
        <f t="shared" si="45"/>
        <v>62.876995979247219</v>
      </c>
      <c r="V282" s="290"/>
      <c r="W282" s="290"/>
      <c r="X282" s="291">
        <v>1.9379</v>
      </c>
    </row>
    <row r="283" spans="1:24" ht="31.5">
      <c r="A283" s="283">
        <f t="shared" si="54"/>
        <v>266</v>
      </c>
      <c r="B283" s="295" t="s">
        <v>144</v>
      </c>
      <c r="C283" s="292">
        <v>0</v>
      </c>
      <c r="D283" s="293"/>
      <c r="E283" s="287">
        <f t="shared" si="52"/>
        <v>0</v>
      </c>
      <c r="F283" s="280">
        <f t="shared" si="42"/>
        <v>0</v>
      </c>
      <c r="G283" s="288"/>
      <c r="H283" s="288"/>
      <c r="I283" s="288"/>
      <c r="J283" s="288"/>
      <c r="K283" s="288"/>
      <c r="L283" s="288">
        <f t="shared" si="53"/>
        <v>0</v>
      </c>
      <c r="M283" s="288"/>
      <c r="N283" s="289" t="e">
        <f t="shared" si="43"/>
        <v>#DIV/0!</v>
      </c>
      <c r="O283" s="287">
        <f t="shared" si="55"/>
        <v>0</v>
      </c>
      <c r="P283" s="288"/>
      <c r="Q283" s="288">
        <f t="shared" si="51"/>
        <v>0</v>
      </c>
      <c r="R283" s="341">
        <f t="shared" si="49"/>
        <v>0</v>
      </c>
      <c r="S283" s="287"/>
      <c r="T283" s="287"/>
      <c r="U283" s="279">
        <f t="shared" si="45"/>
        <v>0</v>
      </c>
      <c r="V283" s="290"/>
      <c r="W283" s="290"/>
      <c r="X283" s="291">
        <v>1.9379</v>
      </c>
    </row>
    <row r="284" spans="1:24" ht="31.5">
      <c r="A284" s="283">
        <f t="shared" si="54"/>
        <v>267</v>
      </c>
      <c r="B284" s="295" t="s">
        <v>145</v>
      </c>
      <c r="C284" s="292">
        <v>0</v>
      </c>
      <c r="D284" s="293"/>
      <c r="E284" s="287">
        <f t="shared" si="52"/>
        <v>0</v>
      </c>
      <c r="F284" s="280">
        <f t="shared" si="42"/>
        <v>0</v>
      </c>
      <c r="G284" s="288"/>
      <c r="H284" s="288"/>
      <c r="I284" s="288"/>
      <c r="J284" s="288"/>
      <c r="K284" s="288"/>
      <c r="L284" s="288">
        <f t="shared" si="53"/>
        <v>0</v>
      </c>
      <c r="M284" s="288"/>
      <c r="N284" s="289" t="e">
        <f t="shared" si="43"/>
        <v>#DIV/0!</v>
      </c>
      <c r="O284" s="287">
        <f t="shared" si="55"/>
        <v>0</v>
      </c>
      <c r="P284" s="288"/>
      <c r="Q284" s="288">
        <f t="shared" si="51"/>
        <v>0</v>
      </c>
      <c r="R284" s="341">
        <f t="shared" si="49"/>
        <v>0</v>
      </c>
      <c r="S284" s="287"/>
      <c r="T284" s="287"/>
      <c r="U284" s="279">
        <f t="shared" si="45"/>
        <v>0</v>
      </c>
      <c r="V284" s="290"/>
      <c r="W284" s="290"/>
      <c r="X284" s="291">
        <v>2.2106400000000002</v>
      </c>
    </row>
    <row r="285" spans="1:24" ht="15.75">
      <c r="A285" s="283">
        <f t="shared" si="54"/>
        <v>268</v>
      </c>
      <c r="B285" s="295" t="s">
        <v>146</v>
      </c>
      <c r="C285" s="292">
        <v>1</v>
      </c>
      <c r="D285" s="293"/>
      <c r="E285" s="287">
        <f t="shared" si="52"/>
        <v>51.98489758849253</v>
      </c>
      <c r="F285" s="280">
        <f t="shared" si="42"/>
        <v>9.0170167817130675</v>
      </c>
      <c r="G285" s="288"/>
      <c r="H285" s="288"/>
      <c r="I285" s="288">
        <f>E285*0.04</f>
        <v>2.0793959035397012</v>
      </c>
      <c r="J285" s="288"/>
      <c r="K285" s="288"/>
      <c r="L285" s="288">
        <f t="shared" si="53"/>
        <v>6.9376208781733659</v>
      </c>
      <c r="M285" s="288"/>
      <c r="N285" s="289">
        <f t="shared" si="43"/>
        <v>0.15599999999999997</v>
      </c>
      <c r="O285" s="287">
        <f t="shared" si="55"/>
        <v>8.1096440238048331</v>
      </c>
      <c r="P285" s="288"/>
      <c r="Q285" s="288">
        <f t="shared" si="51"/>
        <v>1.296</v>
      </c>
      <c r="R285" s="341">
        <f t="shared" si="49"/>
        <v>0</v>
      </c>
      <c r="S285" s="287"/>
      <c r="T285" s="287"/>
      <c r="U285" s="279">
        <f t="shared" si="45"/>
        <v>70.407558394010437</v>
      </c>
      <c r="V285" s="290"/>
      <c r="W285" s="290"/>
      <c r="X285" s="291">
        <v>2.58386</v>
      </c>
    </row>
    <row r="286" spans="1:24" ht="15.75">
      <c r="A286" s="283">
        <f t="shared" si="54"/>
        <v>269</v>
      </c>
      <c r="B286" s="295" t="s">
        <v>147</v>
      </c>
      <c r="C286" s="292">
        <v>1</v>
      </c>
      <c r="D286" s="293"/>
      <c r="E286" s="287">
        <f t="shared" si="52"/>
        <v>44.476052884066917</v>
      </c>
      <c r="F286" s="280">
        <f t="shared" si="42"/>
        <v>7.7145735366181523</v>
      </c>
      <c r="G286" s="288"/>
      <c r="H286" s="288"/>
      <c r="I286" s="288">
        <f>E286*0.04</f>
        <v>1.7790421153626768</v>
      </c>
      <c r="J286" s="288"/>
      <c r="K286" s="288"/>
      <c r="L286" s="288">
        <f t="shared" si="53"/>
        <v>5.9355314212554759</v>
      </c>
      <c r="M286" s="288"/>
      <c r="N286" s="289">
        <f t="shared" si="43"/>
        <v>0.156</v>
      </c>
      <c r="O286" s="287">
        <f t="shared" si="55"/>
        <v>6.9382642499144387</v>
      </c>
      <c r="P286" s="288"/>
      <c r="Q286" s="288">
        <f t="shared" si="51"/>
        <v>1.296</v>
      </c>
      <c r="R286" s="341">
        <f t="shared" si="49"/>
        <v>0</v>
      </c>
      <c r="S286" s="287"/>
      <c r="T286" s="287"/>
      <c r="U286" s="279">
        <f t="shared" si="45"/>
        <v>60.42489067059951</v>
      </c>
      <c r="V286" s="290"/>
      <c r="W286" s="290"/>
      <c r="X286" s="291">
        <v>2.2106400000000002</v>
      </c>
    </row>
    <row r="287" spans="1:24" ht="31.5">
      <c r="A287" s="283">
        <f t="shared" si="54"/>
        <v>270</v>
      </c>
      <c r="B287" s="295" t="s">
        <v>148</v>
      </c>
      <c r="C287" s="292">
        <v>2</v>
      </c>
      <c r="D287" s="293"/>
      <c r="E287" s="287">
        <f t="shared" si="52"/>
        <v>77.97754757358345</v>
      </c>
      <c r="F287" s="280">
        <f t="shared" si="42"/>
        <v>13.525560070036112</v>
      </c>
      <c r="G287" s="288"/>
      <c r="H287" s="288"/>
      <c r="I287" s="288">
        <f>E287*0.04</f>
        <v>3.119101902943338</v>
      </c>
      <c r="J287" s="288"/>
      <c r="K287" s="288"/>
      <c r="L287" s="288">
        <f t="shared" si="53"/>
        <v>10.406458167092774</v>
      </c>
      <c r="M287" s="288"/>
      <c r="N287" s="289">
        <f t="shared" si="43"/>
        <v>0.156</v>
      </c>
      <c r="O287" s="287">
        <f t="shared" si="55"/>
        <v>12.164497421479018</v>
      </c>
      <c r="P287" s="288"/>
      <c r="Q287" s="288">
        <f t="shared" si="51"/>
        <v>2.5920000000000001</v>
      </c>
      <c r="R287" s="341">
        <f t="shared" si="49"/>
        <v>0</v>
      </c>
      <c r="S287" s="287"/>
      <c r="T287" s="287"/>
      <c r="U287" s="279">
        <f t="shared" si="45"/>
        <v>106.25960506509857</v>
      </c>
      <c r="V287" s="290"/>
      <c r="W287" s="290"/>
      <c r="X287" s="291">
        <v>1.9379</v>
      </c>
    </row>
    <row r="288" spans="1:24" ht="15.75">
      <c r="A288" s="283">
        <f t="shared" si="54"/>
        <v>271</v>
      </c>
      <c r="B288" s="295" t="s">
        <v>149</v>
      </c>
      <c r="C288" s="292">
        <v>0</v>
      </c>
      <c r="D288" s="293"/>
      <c r="E288" s="287">
        <f t="shared" si="52"/>
        <v>0</v>
      </c>
      <c r="F288" s="280">
        <f t="shared" si="42"/>
        <v>0</v>
      </c>
      <c r="G288" s="288"/>
      <c r="H288" s="288"/>
      <c r="I288" s="288">
        <f>E288*0.2</f>
        <v>0</v>
      </c>
      <c r="J288" s="288"/>
      <c r="K288" s="288"/>
      <c r="L288" s="288">
        <f t="shared" si="53"/>
        <v>0</v>
      </c>
      <c r="M288" s="288"/>
      <c r="N288" s="289" t="e">
        <f t="shared" si="43"/>
        <v>#DIV/0!</v>
      </c>
      <c r="O288" s="287">
        <f t="shared" si="55"/>
        <v>0</v>
      </c>
      <c r="P288" s="288"/>
      <c r="Q288" s="288">
        <f t="shared" si="51"/>
        <v>0</v>
      </c>
      <c r="R288" s="341">
        <f t="shared" si="49"/>
        <v>0</v>
      </c>
      <c r="S288" s="287"/>
      <c r="T288" s="287"/>
      <c r="U288" s="279">
        <f t="shared" si="45"/>
        <v>0</v>
      </c>
      <c r="V288" s="290"/>
      <c r="W288" s="290"/>
      <c r="X288" s="291">
        <v>2.2106400000000002</v>
      </c>
    </row>
    <row r="289" spans="1:24" ht="15.75">
      <c r="A289" s="283">
        <f t="shared" si="54"/>
        <v>272</v>
      </c>
      <c r="B289" s="295" t="s">
        <v>1388</v>
      </c>
      <c r="C289" s="292">
        <v>1</v>
      </c>
      <c r="D289" s="293"/>
      <c r="E289" s="287">
        <f t="shared" si="52"/>
        <v>51.98489758849253</v>
      </c>
      <c r="F289" s="280">
        <f t="shared" si="42"/>
        <v>13.175808588792469</v>
      </c>
      <c r="G289" s="288"/>
      <c r="H289" s="288"/>
      <c r="I289" s="288">
        <f>E289*0.12</f>
        <v>6.238187710619103</v>
      </c>
      <c r="J289" s="288"/>
      <c r="K289" s="288"/>
      <c r="L289" s="288">
        <f t="shared" si="53"/>
        <v>6.9376208781733659</v>
      </c>
      <c r="M289" s="288"/>
      <c r="N289" s="289">
        <f t="shared" si="43"/>
        <v>0.16799999999999998</v>
      </c>
      <c r="O289" s="287">
        <f>(E289+G289+H289+I289+J289)*0.15</f>
        <v>8.7334627948667443</v>
      </c>
      <c r="P289" s="288"/>
      <c r="Q289" s="288">
        <f t="shared" si="51"/>
        <v>1.296</v>
      </c>
      <c r="R289" s="341">
        <f t="shared" si="49"/>
        <v>0</v>
      </c>
      <c r="S289" s="287"/>
      <c r="T289" s="287"/>
      <c r="U289" s="279">
        <f t="shared" si="45"/>
        <v>75.190168972151739</v>
      </c>
      <c r="V289" s="290"/>
      <c r="W289" s="290"/>
      <c r="X289" s="291">
        <v>2.58386</v>
      </c>
    </row>
    <row r="290" spans="1:24" ht="15.75">
      <c r="A290" s="283">
        <f t="shared" si="54"/>
        <v>273</v>
      </c>
      <c r="B290" s="295" t="s">
        <v>1387</v>
      </c>
      <c r="C290" s="292">
        <v>1</v>
      </c>
      <c r="D290" s="293"/>
      <c r="E290" s="287">
        <f t="shared" si="52"/>
        <v>44.476052884066917</v>
      </c>
      <c r="F290" s="280">
        <f t="shared" ref="F290:F359" si="56">SUM(G290:M290)</f>
        <v>11.272657767343507</v>
      </c>
      <c r="G290" s="288"/>
      <c r="H290" s="288"/>
      <c r="I290" s="288">
        <f>E290*0.12</f>
        <v>5.3371263460880298</v>
      </c>
      <c r="J290" s="288"/>
      <c r="K290" s="288"/>
      <c r="L290" s="288">
        <f t="shared" si="53"/>
        <v>5.9355314212554759</v>
      </c>
      <c r="M290" s="288"/>
      <c r="N290" s="289">
        <f t="shared" ref="N290:N359" si="57">O290/E290</f>
        <v>0.16799999999999998</v>
      </c>
      <c r="O290" s="287">
        <f t="shared" si="55"/>
        <v>7.471976884523241</v>
      </c>
      <c r="P290" s="288"/>
      <c r="Q290" s="288">
        <f t="shared" si="51"/>
        <v>1.296</v>
      </c>
      <c r="R290" s="341">
        <f t="shared" si="49"/>
        <v>0</v>
      </c>
      <c r="S290" s="287"/>
      <c r="T290" s="287"/>
      <c r="U290" s="279">
        <f t="shared" ref="U290:U359" si="58">E290+F290+O290+P290+Q290+R290</f>
        <v>64.51668753593367</v>
      </c>
      <c r="V290" s="290"/>
      <c r="W290" s="290"/>
      <c r="X290" s="291">
        <v>2.2106400000000002</v>
      </c>
    </row>
    <row r="291" spans="1:24" ht="31.5">
      <c r="A291" s="283">
        <f t="shared" si="54"/>
        <v>274</v>
      </c>
      <c r="B291" s="295" t="s">
        <v>150</v>
      </c>
      <c r="C291" s="292">
        <v>1</v>
      </c>
      <c r="D291" s="293"/>
      <c r="E291" s="287">
        <f t="shared" si="52"/>
        <v>44.476052884066917</v>
      </c>
      <c r="F291" s="280">
        <f t="shared" si="56"/>
        <v>5.9355314212554759</v>
      </c>
      <c r="G291" s="288"/>
      <c r="H291" s="288"/>
      <c r="I291" s="288"/>
      <c r="J291" s="288"/>
      <c r="K291" s="288"/>
      <c r="L291" s="288">
        <f t="shared" si="53"/>
        <v>5.9355314212554759</v>
      </c>
      <c r="M291" s="288"/>
      <c r="N291" s="289">
        <f t="shared" si="57"/>
        <v>0.15</v>
      </c>
      <c r="O291" s="287">
        <f t="shared" si="55"/>
        <v>6.6714079326100375</v>
      </c>
      <c r="P291" s="288"/>
      <c r="Q291" s="288">
        <f t="shared" si="51"/>
        <v>1.296</v>
      </c>
      <c r="R291" s="341">
        <f t="shared" si="49"/>
        <v>0</v>
      </c>
      <c r="S291" s="287"/>
      <c r="T291" s="287"/>
      <c r="U291" s="279">
        <f t="shared" si="58"/>
        <v>58.37899223793243</v>
      </c>
      <c r="V291" s="290"/>
      <c r="W291" s="290"/>
      <c r="X291" s="291">
        <v>2.2106400000000002</v>
      </c>
    </row>
    <row r="292" spans="1:24" ht="17.25" customHeight="1">
      <c r="A292" s="283">
        <f t="shared" si="54"/>
        <v>275</v>
      </c>
      <c r="B292" s="295" t="s">
        <v>151</v>
      </c>
      <c r="C292" s="292">
        <v>1</v>
      </c>
      <c r="D292" s="293"/>
      <c r="E292" s="287">
        <f t="shared" si="52"/>
        <v>44.476052884066917</v>
      </c>
      <c r="F292" s="280">
        <f t="shared" si="56"/>
        <v>5.9355314212554759</v>
      </c>
      <c r="G292" s="288"/>
      <c r="H292" s="288"/>
      <c r="I292" s="288"/>
      <c r="J292" s="288"/>
      <c r="K292" s="288"/>
      <c r="L292" s="288">
        <f t="shared" si="53"/>
        <v>5.9355314212554759</v>
      </c>
      <c r="M292" s="288"/>
      <c r="N292" s="289">
        <f t="shared" si="57"/>
        <v>0.15</v>
      </c>
      <c r="O292" s="287">
        <f t="shared" si="55"/>
        <v>6.6714079326100375</v>
      </c>
      <c r="P292" s="288"/>
      <c r="Q292" s="288">
        <f t="shared" si="51"/>
        <v>1.296</v>
      </c>
      <c r="R292" s="341">
        <f t="shared" si="49"/>
        <v>0</v>
      </c>
      <c r="S292" s="287"/>
      <c r="T292" s="287"/>
      <c r="U292" s="279">
        <f t="shared" si="58"/>
        <v>58.37899223793243</v>
      </c>
      <c r="V292" s="290"/>
      <c r="W292" s="290"/>
      <c r="X292" s="291">
        <v>2.2106400000000002</v>
      </c>
    </row>
    <row r="293" spans="1:24" ht="17.25" customHeight="1">
      <c r="A293" s="283">
        <f t="shared" si="54"/>
        <v>276</v>
      </c>
      <c r="B293" s="295" t="s">
        <v>152</v>
      </c>
      <c r="C293" s="292">
        <v>2</v>
      </c>
      <c r="D293" s="293"/>
      <c r="E293" s="287">
        <f t="shared" si="52"/>
        <v>88.952105768133833</v>
      </c>
      <c r="F293" s="280">
        <f t="shared" si="56"/>
        <v>11.871062842510952</v>
      </c>
      <c r="G293" s="288"/>
      <c r="H293" s="288"/>
      <c r="I293" s="288"/>
      <c r="J293" s="288"/>
      <c r="K293" s="288"/>
      <c r="L293" s="288">
        <f t="shared" si="53"/>
        <v>11.871062842510952</v>
      </c>
      <c r="M293" s="288"/>
      <c r="N293" s="289">
        <f t="shared" si="57"/>
        <v>0.15</v>
      </c>
      <c r="O293" s="287">
        <f t="shared" si="55"/>
        <v>13.342815865220075</v>
      </c>
      <c r="P293" s="288"/>
      <c r="Q293" s="288">
        <f t="shared" si="51"/>
        <v>2.5920000000000001</v>
      </c>
      <c r="R293" s="341">
        <f t="shared" si="49"/>
        <v>0</v>
      </c>
      <c r="S293" s="287"/>
      <c r="T293" s="287"/>
      <c r="U293" s="279">
        <f t="shared" si="58"/>
        <v>116.75798447586486</v>
      </c>
      <c r="V293" s="290"/>
      <c r="W293" s="290"/>
      <c r="X293" s="291">
        <v>2.2106400000000002</v>
      </c>
    </row>
    <row r="294" spans="1:24" ht="15.75">
      <c r="A294" s="283">
        <f t="shared" si="54"/>
        <v>277</v>
      </c>
      <c r="B294" s="295" t="s">
        <v>153</v>
      </c>
      <c r="C294" s="292">
        <v>2</v>
      </c>
      <c r="D294" s="293"/>
      <c r="E294" s="287">
        <f t="shared" si="52"/>
        <v>62.382038058866755</v>
      </c>
      <c r="F294" s="280">
        <f t="shared" si="56"/>
        <v>8.3251665336742171</v>
      </c>
      <c r="G294" s="288"/>
      <c r="H294" s="288"/>
      <c r="I294" s="288"/>
      <c r="J294" s="288"/>
      <c r="K294" s="288"/>
      <c r="L294" s="288">
        <f t="shared" si="53"/>
        <v>8.3251665336742171</v>
      </c>
      <c r="M294" s="288"/>
      <c r="N294" s="289">
        <f t="shared" si="57"/>
        <v>0.15</v>
      </c>
      <c r="O294" s="287">
        <f t="shared" si="55"/>
        <v>9.3573057088300136</v>
      </c>
      <c r="P294" s="288"/>
      <c r="Q294" s="288">
        <f t="shared" si="51"/>
        <v>2.5920000000000001</v>
      </c>
      <c r="R294" s="341">
        <f t="shared" si="49"/>
        <v>0</v>
      </c>
      <c r="S294" s="287"/>
      <c r="T294" s="287"/>
      <c r="U294" s="279">
        <f t="shared" si="58"/>
        <v>82.656510301370986</v>
      </c>
      <c r="V294" s="290"/>
      <c r="W294" s="290"/>
      <c r="X294" s="291">
        <v>1.5503199999999999</v>
      </c>
    </row>
    <row r="295" spans="1:24" ht="17.25" customHeight="1">
      <c r="A295" s="283">
        <f t="shared" si="54"/>
        <v>278</v>
      </c>
      <c r="B295" s="513" t="s">
        <v>154</v>
      </c>
      <c r="C295" s="292">
        <v>1</v>
      </c>
      <c r="D295" s="293"/>
      <c r="E295" s="287">
        <f t="shared" si="52"/>
        <v>61.966780155487143</v>
      </c>
      <c r="F295" s="280">
        <f t="shared" si="56"/>
        <v>8.2697484789322839</v>
      </c>
      <c r="G295" s="288"/>
      <c r="H295" s="288"/>
      <c r="I295" s="288"/>
      <c r="J295" s="288"/>
      <c r="K295" s="288"/>
      <c r="L295" s="288">
        <f t="shared" si="53"/>
        <v>8.2697484789322839</v>
      </c>
      <c r="M295" s="288"/>
      <c r="N295" s="289">
        <f t="shared" si="57"/>
        <v>0.2</v>
      </c>
      <c r="O295" s="287">
        <f>(E295+G295+H295+I295+J295)*0.2</f>
        <v>12.393356031097429</v>
      </c>
      <c r="P295" s="288"/>
      <c r="Q295" s="288">
        <f t="shared" si="51"/>
        <v>1.296</v>
      </c>
      <c r="R295" s="341">
        <f t="shared" si="49"/>
        <v>0</v>
      </c>
      <c r="S295" s="287"/>
      <c r="T295" s="287"/>
      <c r="U295" s="279">
        <f t="shared" si="58"/>
        <v>83.925884665516861</v>
      </c>
      <c r="V295" s="329" t="s">
        <v>441</v>
      </c>
      <c r="W295" s="290"/>
      <c r="X295" s="291">
        <v>3.08</v>
      </c>
    </row>
    <row r="296" spans="1:24" ht="15.75">
      <c r="A296" s="283">
        <f t="shared" si="54"/>
        <v>279</v>
      </c>
      <c r="B296" s="284" t="s">
        <v>135</v>
      </c>
      <c r="C296" s="292">
        <v>1</v>
      </c>
      <c r="D296" s="293"/>
      <c r="E296" s="287">
        <f t="shared" si="52"/>
        <v>58.64713121858604</v>
      </c>
      <c r="F296" s="280">
        <f t="shared" si="56"/>
        <v>7.8267262389894823</v>
      </c>
      <c r="G296" s="288"/>
      <c r="H296" s="288"/>
      <c r="I296" s="288"/>
      <c r="J296" s="288"/>
      <c r="K296" s="288"/>
      <c r="L296" s="288">
        <f t="shared" si="53"/>
        <v>7.8267262389894823</v>
      </c>
      <c r="M296" s="288"/>
      <c r="N296" s="289">
        <f t="shared" si="57"/>
        <v>0.2</v>
      </c>
      <c r="O296" s="287">
        <f>(E296+G296+H296+I296+J296)*0.2</f>
        <v>11.729426243717208</v>
      </c>
      <c r="P296" s="288"/>
      <c r="Q296" s="288">
        <f t="shared" si="51"/>
        <v>1.296</v>
      </c>
      <c r="R296" s="341">
        <f t="shared" si="49"/>
        <v>0</v>
      </c>
      <c r="S296" s="287"/>
      <c r="T296" s="287"/>
      <c r="U296" s="279">
        <f t="shared" si="58"/>
        <v>79.49928370129274</v>
      </c>
      <c r="V296" s="327" t="s">
        <v>439</v>
      </c>
      <c r="W296" s="290"/>
      <c r="X296" s="291">
        <v>2.915</v>
      </c>
    </row>
    <row r="297" spans="1:24" ht="15.75">
      <c r="A297" s="283">
        <f t="shared" si="54"/>
        <v>280</v>
      </c>
      <c r="B297" s="284" t="s">
        <v>155</v>
      </c>
      <c r="C297" s="292">
        <v>1</v>
      </c>
      <c r="D297" s="293"/>
      <c r="E297" s="287">
        <f t="shared" si="52"/>
        <v>61.966780155487143</v>
      </c>
      <c r="F297" s="280">
        <f t="shared" si="56"/>
        <v>8.2697484789322839</v>
      </c>
      <c r="G297" s="288"/>
      <c r="H297" s="288"/>
      <c r="I297" s="288"/>
      <c r="J297" s="288"/>
      <c r="K297" s="288"/>
      <c r="L297" s="288">
        <f t="shared" si="53"/>
        <v>8.2697484789322839</v>
      </c>
      <c r="M297" s="288"/>
      <c r="N297" s="289">
        <f t="shared" si="57"/>
        <v>0.2</v>
      </c>
      <c r="O297" s="287">
        <f>(E297+G297+H297+I297+J297)*0.2</f>
        <v>12.393356031097429</v>
      </c>
      <c r="P297" s="288"/>
      <c r="Q297" s="288">
        <f t="shared" si="51"/>
        <v>1.296</v>
      </c>
      <c r="R297" s="341">
        <f t="shared" si="49"/>
        <v>0</v>
      </c>
      <c r="S297" s="287"/>
      <c r="T297" s="287"/>
      <c r="U297" s="279">
        <f t="shared" si="58"/>
        <v>83.925884665516861</v>
      </c>
      <c r="V297" s="328" t="s">
        <v>440</v>
      </c>
      <c r="W297" s="290"/>
      <c r="X297" s="291">
        <v>3.08</v>
      </c>
    </row>
    <row r="298" spans="1:24" ht="31.5">
      <c r="A298" s="283">
        <f t="shared" si="54"/>
        <v>281</v>
      </c>
      <c r="B298" s="295" t="s">
        <v>156</v>
      </c>
      <c r="C298" s="292">
        <v>5</v>
      </c>
      <c r="D298" s="293"/>
      <c r="E298" s="287">
        <f t="shared" si="52"/>
        <v>194.94386893395867</v>
      </c>
      <c r="F298" s="280">
        <f t="shared" si="56"/>
        <v>41.611654932448637</v>
      </c>
      <c r="G298" s="288"/>
      <c r="H298" s="288"/>
      <c r="I298" s="288">
        <f>E298*0.08</f>
        <v>15.595509514716694</v>
      </c>
      <c r="J298" s="288"/>
      <c r="K298" s="288"/>
      <c r="L298" s="288">
        <f t="shared" si="53"/>
        <v>26.016145417731941</v>
      </c>
      <c r="M298" s="288"/>
      <c r="N298" s="289">
        <f t="shared" si="57"/>
        <v>0.24299999999999999</v>
      </c>
      <c r="O298" s="287">
        <f>(E298+G298+H298+I298+J298)*0.225</f>
        <v>47.371360150951958</v>
      </c>
      <c r="P298" s="288"/>
      <c r="Q298" s="288">
        <f t="shared" si="51"/>
        <v>6.48</v>
      </c>
      <c r="R298" s="341">
        <f t="shared" si="49"/>
        <v>0</v>
      </c>
      <c r="S298" s="287"/>
      <c r="T298" s="287"/>
      <c r="U298" s="279">
        <f t="shared" si="58"/>
        <v>290.40688401735929</v>
      </c>
      <c r="V298" s="290"/>
      <c r="W298" s="290"/>
      <c r="X298" s="291">
        <v>1.9379</v>
      </c>
    </row>
    <row r="299" spans="1:24" ht="31.5">
      <c r="A299" s="283">
        <f t="shared" si="54"/>
        <v>282</v>
      </c>
      <c r="B299" s="295" t="s">
        <v>157</v>
      </c>
      <c r="C299" s="292">
        <v>3</v>
      </c>
      <c r="D299" s="293"/>
      <c r="E299" s="287">
        <f t="shared" si="52"/>
        <v>133.42815865220072</v>
      </c>
      <c r="F299" s="280">
        <f t="shared" si="56"/>
        <v>28.480846955942482</v>
      </c>
      <c r="G299" s="288"/>
      <c r="H299" s="288"/>
      <c r="I299" s="288">
        <f>E299*0.08</f>
        <v>10.674252692176058</v>
      </c>
      <c r="J299" s="288"/>
      <c r="K299" s="288"/>
      <c r="L299" s="288">
        <f t="shared" si="53"/>
        <v>17.806594263766424</v>
      </c>
      <c r="M299" s="288"/>
      <c r="N299" s="289">
        <f t="shared" si="57"/>
        <v>0.24299999999999999</v>
      </c>
      <c r="O299" s="287">
        <f>(E299+G299+H299+I299+J299)*0.225</f>
        <v>32.423042552484773</v>
      </c>
      <c r="P299" s="288"/>
      <c r="Q299" s="288">
        <f t="shared" si="51"/>
        <v>3.8879999999999999</v>
      </c>
      <c r="R299" s="341">
        <f t="shared" si="49"/>
        <v>0</v>
      </c>
      <c r="S299" s="287"/>
      <c r="T299" s="287"/>
      <c r="U299" s="279">
        <f t="shared" si="58"/>
        <v>198.22004816062801</v>
      </c>
      <c r="V299" s="290"/>
      <c r="W299" s="290"/>
      <c r="X299" s="291">
        <v>2.2106400000000002</v>
      </c>
    </row>
    <row r="300" spans="1:24" ht="31.5">
      <c r="A300" s="283">
        <f t="shared" si="54"/>
        <v>283</v>
      </c>
      <c r="B300" s="295" t="s">
        <v>158</v>
      </c>
      <c r="C300" s="292">
        <v>3</v>
      </c>
      <c r="D300" s="293"/>
      <c r="E300" s="287">
        <f t="shared" si="52"/>
        <v>155.9546927654776</v>
      </c>
      <c r="F300" s="280">
        <f t="shared" si="56"/>
        <v>46.285462452881447</v>
      </c>
      <c r="G300" s="288"/>
      <c r="H300" s="288"/>
      <c r="I300" s="288">
        <f>E300*0.08</f>
        <v>12.476375421238208</v>
      </c>
      <c r="J300" s="288"/>
      <c r="K300" s="288">
        <f>E300/C300*0.25</f>
        <v>12.996224397123134</v>
      </c>
      <c r="L300" s="288">
        <f t="shared" si="53"/>
        <v>20.812862634520101</v>
      </c>
      <c r="M300" s="288"/>
      <c r="N300" s="289">
        <f t="shared" si="57"/>
        <v>0.24299999999999999</v>
      </c>
      <c r="O300" s="287">
        <f>(E300+G300+H300+I300+J300)*0.225</f>
        <v>37.896990342011058</v>
      </c>
      <c r="P300" s="288"/>
      <c r="Q300" s="288">
        <f t="shared" si="51"/>
        <v>3.8879999999999999</v>
      </c>
      <c r="R300" s="341">
        <f t="shared" si="49"/>
        <v>0</v>
      </c>
      <c r="S300" s="287"/>
      <c r="T300" s="287"/>
      <c r="U300" s="279">
        <f t="shared" si="58"/>
        <v>244.02514556037013</v>
      </c>
      <c r="V300" s="290"/>
      <c r="W300" s="290"/>
      <c r="X300" s="291">
        <v>2.58386</v>
      </c>
    </row>
    <row r="301" spans="1:24" ht="31.5">
      <c r="A301" s="283">
        <f t="shared" si="54"/>
        <v>284</v>
      </c>
      <c r="B301" s="295" t="s">
        <v>159</v>
      </c>
      <c r="C301" s="292">
        <v>5</v>
      </c>
      <c r="D301" s="293"/>
      <c r="E301" s="287">
        <f t="shared" si="52"/>
        <v>259.92448794246263</v>
      </c>
      <c r="F301" s="280">
        <f t="shared" si="56"/>
        <v>92.855130089982879</v>
      </c>
      <c r="G301" s="288">
        <f>E301/2003*60*12*0.4</f>
        <v>37.373066663719044</v>
      </c>
      <c r="H301" s="288"/>
      <c r="I301" s="288">
        <f>E301*0.08</f>
        <v>20.793959035397013</v>
      </c>
      <c r="J301" s="288"/>
      <c r="K301" s="288"/>
      <c r="L301" s="288">
        <f t="shared" si="53"/>
        <v>34.688104390866826</v>
      </c>
      <c r="M301" s="288"/>
      <c r="N301" s="289">
        <f t="shared" si="57"/>
        <v>0.67308137793310041</v>
      </c>
      <c r="O301" s="287">
        <f>(E301+G301+H301+I301+J301)*0.55</f>
        <v>174.95033250286829</v>
      </c>
      <c r="P301" s="288"/>
      <c r="Q301" s="288">
        <f t="shared" si="51"/>
        <v>6.48</v>
      </c>
      <c r="R301" s="341">
        <f t="shared" si="49"/>
        <v>0</v>
      </c>
      <c r="S301" s="287"/>
      <c r="T301" s="287"/>
      <c r="U301" s="279">
        <f t="shared" si="58"/>
        <v>534.20995053531385</v>
      </c>
      <c r="V301" s="290"/>
      <c r="W301" s="290"/>
      <c r="X301" s="291">
        <v>2.58386</v>
      </c>
    </row>
    <row r="302" spans="1:24" ht="17.25" customHeight="1">
      <c r="A302" s="283">
        <f t="shared" si="54"/>
        <v>285</v>
      </c>
      <c r="B302" s="513" t="s">
        <v>160</v>
      </c>
      <c r="C302" s="292">
        <v>1</v>
      </c>
      <c r="D302" s="293"/>
      <c r="E302" s="287">
        <f t="shared" si="52"/>
        <v>68.505482606959006</v>
      </c>
      <c r="F302" s="280">
        <f>SUM(G302:M302)</f>
        <v>9.142368042455983</v>
      </c>
      <c r="G302" s="288"/>
      <c r="H302" s="288"/>
      <c r="I302" s="288"/>
      <c r="J302" s="288"/>
      <c r="K302" s="288"/>
      <c r="L302" s="288">
        <f t="shared" si="53"/>
        <v>9.142368042455983</v>
      </c>
      <c r="M302" s="288"/>
      <c r="N302" s="289">
        <f>O302/E302</f>
        <v>0.2</v>
      </c>
      <c r="O302" s="287">
        <f>(E302+G302+H302+I302+J302)*0.2</f>
        <v>13.701096521391802</v>
      </c>
      <c r="P302" s="288"/>
      <c r="Q302" s="288">
        <f t="shared" si="51"/>
        <v>1.296</v>
      </c>
      <c r="R302" s="341">
        <f>SUM(S302:T302)</f>
        <v>0</v>
      </c>
      <c r="S302" s="287"/>
      <c r="T302" s="287"/>
      <c r="U302" s="279">
        <f>E302+F302+O302+P302+Q302+R302</f>
        <v>92.644947170806802</v>
      </c>
      <c r="V302" s="327" t="s">
        <v>439</v>
      </c>
      <c r="W302" s="290"/>
      <c r="X302" s="291">
        <v>3.4049999999999998</v>
      </c>
    </row>
    <row r="303" spans="1:24" ht="17.25" customHeight="1">
      <c r="A303" s="283">
        <f t="shared" si="54"/>
        <v>286</v>
      </c>
      <c r="B303" s="284" t="s">
        <v>161</v>
      </c>
      <c r="C303" s="292">
        <v>1</v>
      </c>
      <c r="D303" s="293"/>
      <c r="E303" s="287">
        <f t="shared" si="52"/>
        <v>61.966780155487143</v>
      </c>
      <c r="F303" s="280">
        <f>SUM(G303:M303)</f>
        <v>8.2697484789322839</v>
      </c>
      <c r="G303" s="288"/>
      <c r="H303" s="288"/>
      <c r="I303" s="288"/>
      <c r="J303" s="288"/>
      <c r="K303" s="288"/>
      <c r="L303" s="288">
        <f t="shared" si="53"/>
        <v>8.2697484789322839</v>
      </c>
      <c r="M303" s="288"/>
      <c r="N303" s="289">
        <f>O303/E303</f>
        <v>0.2</v>
      </c>
      <c r="O303" s="287">
        <f>(E303+G303+H303+I303+J303)*0.2</f>
        <v>12.393356031097429</v>
      </c>
      <c r="P303" s="288"/>
      <c r="Q303" s="288">
        <f t="shared" si="51"/>
        <v>1.296</v>
      </c>
      <c r="R303" s="341">
        <f>SUM(S303:T303)</f>
        <v>0</v>
      </c>
      <c r="S303" s="287"/>
      <c r="T303" s="287"/>
      <c r="U303" s="279">
        <f>E303+F303+O303+P303+Q303+R303</f>
        <v>83.925884665516861</v>
      </c>
      <c r="V303" s="328" t="s">
        <v>440</v>
      </c>
      <c r="W303" s="290"/>
      <c r="X303" s="291">
        <v>3.08</v>
      </c>
    </row>
    <row r="304" spans="1:24" ht="15.75">
      <c r="A304" s="283">
        <f t="shared" si="54"/>
        <v>287</v>
      </c>
      <c r="B304" s="284" t="s">
        <v>162</v>
      </c>
      <c r="C304" s="292">
        <v>1</v>
      </c>
      <c r="D304" s="293"/>
      <c r="E304" s="287">
        <f t="shared" si="52"/>
        <v>53.818550946729893</v>
      </c>
      <c r="F304" s="280">
        <f>SUM(G304:M304)</f>
        <v>7.1823302536181348</v>
      </c>
      <c r="G304" s="288"/>
      <c r="H304" s="288"/>
      <c r="I304" s="288"/>
      <c r="J304" s="288"/>
      <c r="K304" s="288"/>
      <c r="L304" s="288">
        <f t="shared" si="53"/>
        <v>7.1823302536181348</v>
      </c>
      <c r="M304" s="288"/>
      <c r="N304" s="289">
        <f>O304/E304</f>
        <v>0.2</v>
      </c>
      <c r="O304" s="287">
        <f>(E304+G304+H304+I304+J304)*0.2</f>
        <v>10.763710189345979</v>
      </c>
      <c r="P304" s="288"/>
      <c r="Q304" s="288">
        <f t="shared" si="51"/>
        <v>1.296</v>
      </c>
      <c r="R304" s="341">
        <f>SUM(S304:T304)</f>
        <v>0</v>
      </c>
      <c r="S304" s="287"/>
      <c r="T304" s="287"/>
      <c r="U304" s="279">
        <f>E304+F304+O304+P304+Q304+R304</f>
        <v>73.060591389694011</v>
      </c>
      <c r="V304" s="330" t="s">
        <v>442</v>
      </c>
      <c r="W304" s="290"/>
      <c r="X304" s="291">
        <v>2.6749999999999998</v>
      </c>
    </row>
    <row r="305" spans="1:24" ht="15.75">
      <c r="A305" s="283">
        <f t="shared" si="54"/>
        <v>288</v>
      </c>
      <c r="B305" s="295" t="s">
        <v>163</v>
      </c>
      <c r="C305" s="292">
        <v>2</v>
      </c>
      <c r="D305" s="293"/>
      <c r="E305" s="287">
        <f t="shared" si="52"/>
        <v>103.96979517698506</v>
      </c>
      <c r="F305" s="280">
        <f t="shared" si="56"/>
        <v>22.192825370505538</v>
      </c>
      <c r="G305" s="288"/>
      <c r="H305" s="288"/>
      <c r="I305" s="288">
        <f>E305*0.08</f>
        <v>8.3175836141588047</v>
      </c>
      <c r="J305" s="288"/>
      <c r="K305" s="288"/>
      <c r="L305" s="288">
        <f t="shared" si="53"/>
        <v>13.875241756346732</v>
      </c>
      <c r="M305" s="288"/>
      <c r="N305" s="289">
        <f t="shared" si="57"/>
        <v>0.16200000000000001</v>
      </c>
      <c r="O305" s="287">
        <f>(E305+G305+H305+I305+J305)*0.15</f>
        <v>16.843106818671579</v>
      </c>
      <c r="P305" s="288"/>
      <c r="Q305" s="288">
        <f t="shared" si="51"/>
        <v>2.5920000000000001</v>
      </c>
      <c r="R305" s="341">
        <f t="shared" si="49"/>
        <v>0</v>
      </c>
      <c r="S305" s="287"/>
      <c r="T305" s="287"/>
      <c r="U305" s="279">
        <f t="shared" si="58"/>
        <v>145.59772736616219</v>
      </c>
      <c r="V305" s="290"/>
      <c r="W305" s="290"/>
      <c r="X305" s="291">
        <v>2.58386</v>
      </c>
    </row>
    <row r="306" spans="1:24" ht="15.75">
      <c r="A306" s="283">
        <f t="shared" si="54"/>
        <v>289</v>
      </c>
      <c r="B306" s="295" t="s">
        <v>164</v>
      </c>
      <c r="C306" s="292">
        <v>2</v>
      </c>
      <c r="D306" s="293"/>
      <c r="E306" s="287">
        <f t="shared" si="52"/>
        <v>88.952105768133833</v>
      </c>
      <c r="F306" s="280">
        <f t="shared" si="56"/>
        <v>18.987231303961657</v>
      </c>
      <c r="G306" s="288"/>
      <c r="H306" s="288"/>
      <c r="I306" s="288">
        <f>E306*0.08</f>
        <v>7.116168461450707</v>
      </c>
      <c r="J306" s="288"/>
      <c r="K306" s="288"/>
      <c r="L306" s="288">
        <f t="shared" si="53"/>
        <v>11.871062842510952</v>
      </c>
      <c r="M306" s="288"/>
      <c r="N306" s="289">
        <f t="shared" si="57"/>
        <v>0.16200000000000001</v>
      </c>
      <c r="O306" s="287">
        <f>(E306+G306+H306+I306+J306)*0.15</f>
        <v>14.410241134437682</v>
      </c>
      <c r="P306" s="288"/>
      <c r="Q306" s="288">
        <f t="shared" si="51"/>
        <v>2.5920000000000001</v>
      </c>
      <c r="R306" s="341">
        <f t="shared" si="49"/>
        <v>0</v>
      </c>
      <c r="S306" s="287"/>
      <c r="T306" s="287"/>
      <c r="U306" s="279">
        <f t="shared" si="58"/>
        <v>124.94157820653318</v>
      </c>
      <c r="V306" s="290"/>
      <c r="W306" s="290"/>
      <c r="X306" s="291">
        <v>2.2106400000000002</v>
      </c>
    </row>
    <row r="307" spans="1:24" ht="17.25" customHeight="1">
      <c r="A307" s="283">
        <f t="shared" si="54"/>
        <v>290</v>
      </c>
      <c r="B307" s="295" t="s">
        <v>165</v>
      </c>
      <c r="C307" s="292">
        <v>0.25</v>
      </c>
      <c r="D307" s="293"/>
      <c r="E307" s="287">
        <f t="shared" si="52"/>
        <v>11.119013221016729</v>
      </c>
      <c r="F307" s="280">
        <f t="shared" si="56"/>
        <v>1.483882855313869</v>
      </c>
      <c r="G307" s="288"/>
      <c r="H307" s="288"/>
      <c r="I307" s="288"/>
      <c r="J307" s="288"/>
      <c r="K307" s="288"/>
      <c r="L307" s="288">
        <f t="shared" si="53"/>
        <v>1.483882855313869</v>
      </c>
      <c r="M307" s="288"/>
      <c r="N307" s="289">
        <f t="shared" si="57"/>
        <v>0.15</v>
      </c>
      <c r="O307" s="287">
        <f>(E307+G307+H307+I307+J307)*0.15</f>
        <v>1.6678519831525094</v>
      </c>
      <c r="P307" s="288"/>
      <c r="Q307" s="288">
        <f t="shared" si="51"/>
        <v>0.32400000000000001</v>
      </c>
      <c r="R307" s="341">
        <f t="shared" ref="R307:R340" si="59">SUM(S307:T307)</f>
        <v>0</v>
      </c>
      <c r="S307" s="287"/>
      <c r="T307" s="287"/>
      <c r="U307" s="279">
        <f t="shared" si="58"/>
        <v>14.594748059483107</v>
      </c>
      <c r="V307" s="290"/>
      <c r="W307" s="290"/>
      <c r="X307" s="291">
        <v>2.2106400000000002</v>
      </c>
    </row>
    <row r="308" spans="1:24" ht="17.25" customHeight="1">
      <c r="A308" s="283">
        <f t="shared" si="54"/>
        <v>291</v>
      </c>
      <c r="B308" s="513" t="s">
        <v>166</v>
      </c>
      <c r="C308" s="299">
        <v>1</v>
      </c>
      <c r="D308" s="293"/>
      <c r="E308" s="287">
        <f t="shared" si="52"/>
        <v>78.162643150671272</v>
      </c>
      <c r="F308" s="280">
        <f t="shared" si="56"/>
        <v>10.431160013198674</v>
      </c>
      <c r="G308" s="288"/>
      <c r="H308" s="288"/>
      <c r="I308" s="288"/>
      <c r="J308" s="288"/>
      <c r="K308" s="288"/>
      <c r="L308" s="288">
        <f t="shared" si="53"/>
        <v>10.431160013198674</v>
      </c>
      <c r="M308" s="288"/>
      <c r="N308" s="289">
        <f t="shared" si="57"/>
        <v>0.2</v>
      </c>
      <c r="O308" s="287">
        <f>(E308+G308+H308+I308+J308)*0.2</f>
        <v>15.632528630134255</v>
      </c>
      <c r="P308" s="288"/>
      <c r="Q308" s="288">
        <f t="shared" si="51"/>
        <v>1.296</v>
      </c>
      <c r="R308" s="341">
        <f t="shared" si="59"/>
        <v>0</v>
      </c>
      <c r="S308" s="287"/>
      <c r="T308" s="287"/>
      <c r="U308" s="279">
        <f t="shared" si="58"/>
        <v>105.52233179400422</v>
      </c>
      <c r="V308" s="327" t="s">
        <v>439</v>
      </c>
      <c r="W308" s="290"/>
      <c r="X308" s="291">
        <v>3.8849999999999998</v>
      </c>
    </row>
    <row r="309" spans="1:24" ht="17.25" customHeight="1">
      <c r="A309" s="283">
        <f t="shared" si="54"/>
        <v>292</v>
      </c>
      <c r="B309" s="284" t="s">
        <v>167</v>
      </c>
      <c r="C309" s="299">
        <v>1</v>
      </c>
      <c r="D309" s="293"/>
      <c r="E309" s="287">
        <f t="shared" si="52"/>
        <v>55.528673126345623</v>
      </c>
      <c r="F309" s="280">
        <f t="shared" si="56"/>
        <v>7.4105538317704882</v>
      </c>
      <c r="G309" s="288"/>
      <c r="H309" s="288"/>
      <c r="I309" s="288"/>
      <c r="J309" s="288"/>
      <c r="K309" s="288"/>
      <c r="L309" s="288">
        <f t="shared" si="53"/>
        <v>7.4105538317704882</v>
      </c>
      <c r="M309" s="288"/>
      <c r="N309" s="289">
        <f t="shared" si="57"/>
        <v>0.2</v>
      </c>
      <c r="O309" s="287">
        <f>(E309+G309+H309+I309+J309)*0.2</f>
        <v>11.105734625269125</v>
      </c>
      <c r="P309" s="288"/>
      <c r="Q309" s="288">
        <f t="shared" si="51"/>
        <v>1.296</v>
      </c>
      <c r="R309" s="341">
        <f t="shared" si="59"/>
        <v>0</v>
      </c>
      <c r="S309" s="287"/>
      <c r="T309" s="287"/>
      <c r="U309" s="279">
        <f t="shared" si="58"/>
        <v>75.340961583385237</v>
      </c>
      <c r="V309" s="329" t="s">
        <v>441</v>
      </c>
      <c r="W309" s="290"/>
      <c r="X309" s="291">
        <v>2.76</v>
      </c>
    </row>
    <row r="310" spans="1:24" ht="17.25" customHeight="1">
      <c r="A310" s="283">
        <f t="shared" si="54"/>
        <v>293</v>
      </c>
      <c r="B310" s="284" t="s">
        <v>168</v>
      </c>
      <c r="C310" s="299">
        <v>1</v>
      </c>
      <c r="D310" s="293"/>
      <c r="E310" s="287">
        <f t="shared" si="52"/>
        <v>55.528673126345623</v>
      </c>
      <c r="F310" s="280">
        <f t="shared" si="56"/>
        <v>7.4105538317704882</v>
      </c>
      <c r="G310" s="288"/>
      <c r="H310" s="288"/>
      <c r="I310" s="288"/>
      <c r="J310" s="288"/>
      <c r="K310" s="288"/>
      <c r="L310" s="288">
        <f t="shared" si="53"/>
        <v>7.4105538317704882</v>
      </c>
      <c r="M310" s="288"/>
      <c r="N310" s="289">
        <f t="shared" si="57"/>
        <v>0.2</v>
      </c>
      <c r="O310" s="287">
        <f>(E310+G310+H310+I310+J310)*0.2</f>
        <v>11.105734625269125</v>
      </c>
      <c r="P310" s="288"/>
      <c r="Q310" s="288">
        <f t="shared" si="51"/>
        <v>1.296</v>
      </c>
      <c r="R310" s="341">
        <f t="shared" si="59"/>
        <v>0</v>
      </c>
      <c r="S310" s="287"/>
      <c r="T310" s="287"/>
      <c r="U310" s="279">
        <f t="shared" si="58"/>
        <v>75.340961583385237</v>
      </c>
      <c r="V310" s="329" t="s">
        <v>441</v>
      </c>
      <c r="W310" s="290"/>
      <c r="X310" s="291">
        <v>2.76</v>
      </c>
    </row>
    <row r="311" spans="1:24" ht="15.75">
      <c r="A311" s="283">
        <f t="shared" si="54"/>
        <v>294</v>
      </c>
      <c r="B311" s="284" t="s">
        <v>169</v>
      </c>
      <c r="C311" s="299">
        <v>1</v>
      </c>
      <c r="D311" s="293"/>
      <c r="E311" s="287">
        <f t="shared" si="52"/>
        <v>42.55186364573224</v>
      </c>
      <c r="F311" s="280">
        <f t="shared" si="56"/>
        <v>5.6787396210849934</v>
      </c>
      <c r="G311" s="288"/>
      <c r="H311" s="288"/>
      <c r="I311" s="288"/>
      <c r="J311" s="288"/>
      <c r="K311" s="288"/>
      <c r="L311" s="288">
        <f t="shared" si="53"/>
        <v>5.6787396210849934</v>
      </c>
      <c r="M311" s="288"/>
      <c r="N311" s="289">
        <f t="shared" si="57"/>
        <v>0.2</v>
      </c>
      <c r="O311" s="287">
        <f>(E311+G311+H311+I311+J311)*0.2</f>
        <v>8.5103727291464484</v>
      </c>
      <c r="P311" s="288"/>
      <c r="Q311" s="288">
        <f t="shared" si="51"/>
        <v>1.296</v>
      </c>
      <c r="R311" s="341">
        <f t="shared" si="59"/>
        <v>0</v>
      </c>
      <c r="S311" s="287"/>
      <c r="T311" s="287"/>
      <c r="U311" s="279">
        <f t="shared" si="58"/>
        <v>58.03697599596368</v>
      </c>
      <c r="V311" s="329" t="s">
        <v>441</v>
      </c>
      <c r="W311" s="290"/>
      <c r="X311" s="291">
        <v>2.1150000000000002</v>
      </c>
    </row>
    <row r="312" spans="1:24" ht="15.75">
      <c r="A312" s="283">
        <f t="shared" si="54"/>
        <v>295</v>
      </c>
      <c r="B312" s="284" t="s">
        <v>170</v>
      </c>
      <c r="C312" s="299">
        <v>1</v>
      </c>
      <c r="D312" s="293"/>
      <c r="E312" s="287">
        <f t="shared" si="52"/>
        <v>55.528673126345623</v>
      </c>
      <c r="F312" s="280">
        <f t="shared" si="56"/>
        <v>7.4105538317704882</v>
      </c>
      <c r="G312" s="288"/>
      <c r="H312" s="288"/>
      <c r="I312" s="288"/>
      <c r="J312" s="288"/>
      <c r="K312" s="288"/>
      <c r="L312" s="288">
        <f t="shared" si="53"/>
        <v>7.4105538317704882</v>
      </c>
      <c r="M312" s="288"/>
      <c r="N312" s="289">
        <f t="shared" si="57"/>
        <v>0.2</v>
      </c>
      <c r="O312" s="287">
        <f>(E312+G312+H312+I312+J312)*0.2</f>
        <v>11.105734625269125</v>
      </c>
      <c r="P312" s="288"/>
      <c r="Q312" s="288">
        <f t="shared" si="51"/>
        <v>1.296</v>
      </c>
      <c r="R312" s="341">
        <f t="shared" si="59"/>
        <v>0</v>
      </c>
      <c r="S312" s="287"/>
      <c r="T312" s="287"/>
      <c r="U312" s="279">
        <f t="shared" si="58"/>
        <v>75.340961583385237</v>
      </c>
      <c r="V312" s="328" t="s">
        <v>440</v>
      </c>
      <c r="W312" s="290"/>
      <c r="X312" s="291">
        <v>2.76</v>
      </c>
    </row>
    <row r="313" spans="1:24" ht="15.75">
      <c r="A313" s="283">
        <f t="shared" si="54"/>
        <v>296</v>
      </c>
      <c r="B313" s="284" t="s">
        <v>23</v>
      </c>
      <c r="C313" s="299">
        <v>1</v>
      </c>
      <c r="D313" s="293"/>
      <c r="E313" s="287">
        <f t="shared" si="52"/>
        <v>27.080287691326529</v>
      </c>
      <c r="F313" s="280">
        <f t="shared" si="56"/>
        <v>3.6139874846243041</v>
      </c>
      <c r="G313" s="288"/>
      <c r="H313" s="288"/>
      <c r="I313" s="288"/>
      <c r="J313" s="288"/>
      <c r="K313" s="288"/>
      <c r="L313" s="288">
        <f t="shared" si="53"/>
        <v>3.6139874846243041</v>
      </c>
      <c r="M313" s="288"/>
      <c r="N313" s="289">
        <f t="shared" si="57"/>
        <v>0.55000000000000004</v>
      </c>
      <c r="O313" s="287">
        <f>(E313+G313+H313+I313+J313)*0.55</f>
        <v>14.894158230229593</v>
      </c>
      <c r="P313" s="288"/>
      <c r="Q313" s="288">
        <f t="shared" si="51"/>
        <v>1.296</v>
      </c>
      <c r="R313" s="341">
        <f t="shared" si="59"/>
        <v>0</v>
      </c>
      <c r="S313" s="287"/>
      <c r="T313" s="287"/>
      <c r="U313" s="279">
        <f t="shared" si="58"/>
        <v>46.884433406180428</v>
      </c>
      <c r="V313" s="329" t="s">
        <v>441</v>
      </c>
      <c r="W313" s="290"/>
      <c r="X313" s="291">
        <v>1.3460000000000001</v>
      </c>
    </row>
    <row r="314" spans="1:24" ht="31.35" customHeight="1">
      <c r="A314" s="283">
        <f t="shared" si="54"/>
        <v>297</v>
      </c>
      <c r="B314" s="305" t="s">
        <v>171</v>
      </c>
      <c r="C314" s="299">
        <v>4</v>
      </c>
      <c r="D314" s="293"/>
      <c r="E314" s="287">
        <f t="shared" si="52"/>
        <v>157.11073535889781</v>
      </c>
      <c r="F314" s="280">
        <f t="shared" si="56"/>
        <v>48.461520461158209</v>
      </c>
      <c r="G314" s="288"/>
      <c r="H314" s="288"/>
      <c r="I314" s="288"/>
      <c r="J314" s="288">
        <f>E314/C314*0.25*2+E314/C314*0.1*2</f>
        <v>27.494378687807117</v>
      </c>
      <c r="K314" s="288"/>
      <c r="L314" s="288">
        <f t="shared" si="53"/>
        <v>20.967141773351091</v>
      </c>
      <c r="M314" s="288"/>
      <c r="N314" s="289">
        <f t="shared" si="57"/>
        <v>0.17624999999999999</v>
      </c>
      <c r="O314" s="287">
        <f>(E314+G314+H314+I314+J314)*0.15</f>
        <v>27.690767107005737</v>
      </c>
      <c r="P314" s="288"/>
      <c r="Q314" s="288">
        <f t="shared" si="51"/>
        <v>5.1840000000000002</v>
      </c>
      <c r="R314" s="341">
        <f t="shared" si="59"/>
        <v>0</v>
      </c>
      <c r="S314" s="287"/>
      <c r="T314" s="287"/>
      <c r="U314" s="279">
        <f t="shared" si="58"/>
        <v>238.44702292706177</v>
      </c>
      <c r="V314" s="290"/>
      <c r="W314" s="290"/>
      <c r="X314" s="291">
        <v>1.9522600000000001</v>
      </c>
    </row>
    <row r="315" spans="1:24" ht="31.35" customHeight="1">
      <c r="A315" s="283">
        <f t="shared" si="54"/>
        <v>298</v>
      </c>
      <c r="B315" s="305" t="s">
        <v>172</v>
      </c>
      <c r="C315" s="299">
        <v>5</v>
      </c>
      <c r="D315" s="293"/>
      <c r="E315" s="287">
        <f t="shared" si="52"/>
        <v>207.94079749903807</v>
      </c>
      <c r="F315" s="280">
        <f t="shared" si="56"/>
        <v>46.465316386603234</v>
      </c>
      <c r="G315" s="288"/>
      <c r="H315" s="288"/>
      <c r="I315" s="288"/>
      <c r="J315" s="288">
        <f>E315/C315*0.25+E315/C315*0.1*2</f>
        <v>18.714671774913427</v>
      </c>
      <c r="K315" s="288"/>
      <c r="L315" s="288">
        <f t="shared" si="53"/>
        <v>27.750644611689804</v>
      </c>
      <c r="M315" s="288"/>
      <c r="N315" s="289">
        <f t="shared" si="57"/>
        <v>0.16350000000000001</v>
      </c>
      <c r="O315" s="287">
        <f t="shared" ref="O315:O378" si="60">(E315+G315+H315+I315+J315)*0.15</f>
        <v>33.998320391092726</v>
      </c>
      <c r="P315" s="288"/>
      <c r="Q315" s="288">
        <f t="shared" si="51"/>
        <v>6.48</v>
      </c>
      <c r="R315" s="341">
        <f t="shared" si="59"/>
        <v>0</v>
      </c>
      <c r="S315" s="287"/>
      <c r="T315" s="287"/>
      <c r="U315" s="279">
        <f t="shared" si="58"/>
        <v>294.88443427673405</v>
      </c>
      <c r="V315" s="290"/>
      <c r="W315" s="290"/>
      <c r="X315" s="291">
        <v>2.0670999999999999</v>
      </c>
    </row>
    <row r="316" spans="1:24" ht="15.75">
      <c r="A316" s="283">
        <f t="shared" si="54"/>
        <v>299</v>
      </c>
      <c r="B316" s="305" t="s">
        <v>173</v>
      </c>
      <c r="C316" s="299">
        <v>5</v>
      </c>
      <c r="D316" s="293"/>
      <c r="E316" s="287">
        <f t="shared" si="52"/>
        <v>196.3884191986223</v>
      </c>
      <c r="F316" s="280">
        <f t="shared" si="56"/>
        <v>87.832534481055376</v>
      </c>
      <c r="G316" s="288">
        <f>E316/2003*60*12*0.4</f>
        <v>28.237576000600711</v>
      </c>
      <c r="H316" s="288"/>
      <c r="I316" s="288"/>
      <c r="J316" s="288">
        <f>E316/C316*0.25*3+E316/C316*0.1</f>
        <v>33.386031263765794</v>
      </c>
      <c r="K316" s="288"/>
      <c r="L316" s="288">
        <f t="shared" si="53"/>
        <v>26.208927216688863</v>
      </c>
      <c r="M316" s="288"/>
      <c r="N316" s="289">
        <f t="shared" si="57"/>
        <v>0.19706764852720915</v>
      </c>
      <c r="O316" s="287">
        <f t="shared" si="60"/>
        <v>38.701803969448314</v>
      </c>
      <c r="P316" s="288"/>
      <c r="Q316" s="288">
        <f t="shared" si="51"/>
        <v>6.48</v>
      </c>
      <c r="R316" s="341">
        <f t="shared" si="59"/>
        <v>0</v>
      </c>
      <c r="S316" s="287"/>
      <c r="T316" s="287"/>
      <c r="U316" s="279">
        <f t="shared" si="58"/>
        <v>329.40275764912599</v>
      </c>
      <c r="V316" s="290"/>
      <c r="W316" s="290"/>
      <c r="X316" s="291">
        <v>1.9522600000000001</v>
      </c>
    </row>
    <row r="317" spans="1:24" ht="15.75">
      <c r="A317" s="283">
        <f t="shared" si="54"/>
        <v>300</v>
      </c>
      <c r="B317" s="305" t="s">
        <v>174</v>
      </c>
      <c r="C317" s="299">
        <v>1</v>
      </c>
      <c r="D317" s="293"/>
      <c r="E317" s="287">
        <f t="shared" si="52"/>
        <v>39.277683839724453</v>
      </c>
      <c r="F317" s="280">
        <f t="shared" si="56"/>
        <v>5.2417854433377729</v>
      </c>
      <c r="G317" s="288"/>
      <c r="H317" s="288"/>
      <c r="I317" s="288"/>
      <c r="J317" s="288"/>
      <c r="K317" s="288"/>
      <c r="L317" s="288">
        <f t="shared" si="53"/>
        <v>5.2417854433377729</v>
      </c>
      <c r="M317" s="288"/>
      <c r="N317" s="289">
        <f t="shared" si="57"/>
        <v>0.15</v>
      </c>
      <c r="O317" s="287">
        <f t="shared" si="60"/>
        <v>5.891652575958668</v>
      </c>
      <c r="P317" s="288"/>
      <c r="Q317" s="288">
        <f t="shared" si="51"/>
        <v>1.296</v>
      </c>
      <c r="R317" s="341">
        <f>SUM(S317:T317)</f>
        <v>0</v>
      </c>
      <c r="S317" s="287"/>
      <c r="T317" s="287"/>
      <c r="U317" s="279">
        <f t="shared" si="58"/>
        <v>51.707121859020894</v>
      </c>
      <c r="V317" s="290"/>
      <c r="W317" s="290"/>
      <c r="X317" s="291">
        <v>1.9522600000000001</v>
      </c>
    </row>
    <row r="318" spans="1:24" ht="15.75">
      <c r="A318" s="283">
        <f t="shared" si="54"/>
        <v>301</v>
      </c>
      <c r="B318" s="305" t="s">
        <v>175</v>
      </c>
      <c r="C318" s="299">
        <v>1</v>
      </c>
      <c r="D318" s="293"/>
      <c r="E318" s="287">
        <f t="shared" si="52"/>
        <v>39.277683839724453</v>
      </c>
      <c r="F318" s="280">
        <f t="shared" si="56"/>
        <v>5.2417854433377729</v>
      </c>
      <c r="G318" s="288"/>
      <c r="H318" s="288"/>
      <c r="I318" s="288"/>
      <c r="J318" s="288"/>
      <c r="K318" s="288"/>
      <c r="L318" s="288">
        <f t="shared" si="53"/>
        <v>5.2417854433377729</v>
      </c>
      <c r="M318" s="288"/>
      <c r="N318" s="289">
        <f t="shared" si="57"/>
        <v>0.15</v>
      </c>
      <c r="O318" s="287">
        <f t="shared" si="60"/>
        <v>5.891652575958668</v>
      </c>
      <c r="P318" s="288"/>
      <c r="Q318" s="288">
        <f t="shared" si="51"/>
        <v>1.296</v>
      </c>
      <c r="R318" s="341">
        <f>SUM(S318:T318)</f>
        <v>0</v>
      </c>
      <c r="S318" s="287"/>
      <c r="T318" s="287"/>
      <c r="U318" s="279">
        <f t="shared" si="58"/>
        <v>51.707121859020894</v>
      </c>
      <c r="V318" s="290"/>
      <c r="W318" s="290"/>
      <c r="X318" s="291">
        <v>1.9522600000000001</v>
      </c>
    </row>
    <row r="319" spans="1:24" ht="15.75">
      <c r="A319" s="283">
        <f>A316+1</f>
        <v>300</v>
      </c>
      <c r="B319" s="305" t="s">
        <v>176</v>
      </c>
      <c r="C319" s="299">
        <v>4</v>
      </c>
      <c r="D319" s="293"/>
      <c r="E319" s="287">
        <f t="shared" si="52"/>
        <v>157.11073535889781</v>
      </c>
      <c r="F319" s="280">
        <f t="shared" si="56"/>
        <v>32.750446925268427</v>
      </c>
      <c r="G319" s="288"/>
      <c r="H319" s="288"/>
      <c r="I319" s="288"/>
      <c r="J319" s="288">
        <f>E319/C319*0.1*3</f>
        <v>11.783305151917336</v>
      </c>
      <c r="K319" s="288"/>
      <c r="L319" s="288">
        <f t="shared" si="53"/>
        <v>20.967141773351091</v>
      </c>
      <c r="M319" s="288"/>
      <c r="N319" s="289">
        <f t="shared" si="57"/>
        <v>0.16125</v>
      </c>
      <c r="O319" s="287">
        <f t="shared" si="60"/>
        <v>25.334106076622273</v>
      </c>
      <c r="P319" s="288"/>
      <c r="Q319" s="288">
        <f t="shared" si="51"/>
        <v>5.1840000000000002</v>
      </c>
      <c r="R319" s="341">
        <f t="shared" si="59"/>
        <v>0</v>
      </c>
      <c r="S319" s="287"/>
      <c r="T319" s="287"/>
      <c r="U319" s="279">
        <f t="shared" si="58"/>
        <v>220.37928836078851</v>
      </c>
      <c r="V319" s="290"/>
      <c r="W319" s="290"/>
      <c r="X319" s="291">
        <v>1.9522600000000001</v>
      </c>
    </row>
    <row r="320" spans="1:24" ht="15.75">
      <c r="A320" s="283">
        <f t="shared" si="54"/>
        <v>301</v>
      </c>
      <c r="B320" s="305" t="s">
        <v>177</v>
      </c>
      <c r="C320" s="299">
        <v>2</v>
      </c>
      <c r="D320" s="293"/>
      <c r="E320" s="287">
        <f t="shared" si="52"/>
        <v>86.642032489739989</v>
      </c>
      <c r="F320" s="280">
        <f t="shared" si="56"/>
        <v>15.894874687663208</v>
      </c>
      <c r="G320" s="288"/>
      <c r="H320" s="288"/>
      <c r="I320" s="288"/>
      <c r="J320" s="288">
        <f>E320/C320*0.1</f>
        <v>4.3321016244869996</v>
      </c>
      <c r="K320" s="288"/>
      <c r="L320" s="288">
        <f t="shared" si="53"/>
        <v>11.562773063176209</v>
      </c>
      <c r="M320" s="288"/>
      <c r="N320" s="289">
        <f t="shared" si="57"/>
        <v>0.1575</v>
      </c>
      <c r="O320" s="287">
        <f t="shared" si="60"/>
        <v>13.646120117134048</v>
      </c>
      <c r="P320" s="288"/>
      <c r="Q320" s="288">
        <f t="shared" si="51"/>
        <v>2.5920000000000001</v>
      </c>
      <c r="R320" s="341">
        <f t="shared" si="59"/>
        <v>0</v>
      </c>
      <c r="S320" s="287"/>
      <c r="T320" s="287"/>
      <c r="U320" s="279">
        <f t="shared" si="58"/>
        <v>118.77502729453724</v>
      </c>
      <c r="V320" s="290"/>
      <c r="W320" s="290"/>
      <c r="X320" s="291">
        <v>2.1532300000000002</v>
      </c>
    </row>
    <row r="321" spans="1:24" ht="31.5">
      <c r="A321" s="283">
        <f t="shared" si="54"/>
        <v>302</v>
      </c>
      <c r="B321" s="305" t="s">
        <v>178</v>
      </c>
      <c r="C321" s="299">
        <v>1</v>
      </c>
      <c r="D321" s="293"/>
      <c r="E321" s="287">
        <f t="shared" si="52"/>
        <v>43.321016244869995</v>
      </c>
      <c r="F321" s="280">
        <f t="shared" si="56"/>
        <v>27.441894654023102</v>
      </c>
      <c r="G321" s="288"/>
      <c r="H321" s="288"/>
      <c r="I321" s="288"/>
      <c r="J321" s="288">
        <f>E321/C321*0.25*2</f>
        <v>21.660508122434997</v>
      </c>
      <c r="K321" s="288"/>
      <c r="L321" s="288">
        <f t="shared" si="53"/>
        <v>5.7813865315881046</v>
      </c>
      <c r="M321" s="288"/>
      <c r="N321" s="289">
        <f t="shared" si="57"/>
        <v>0.22499999999999998</v>
      </c>
      <c r="O321" s="287">
        <f t="shared" si="60"/>
        <v>9.7472286550957481</v>
      </c>
      <c r="P321" s="288"/>
      <c r="Q321" s="288">
        <f t="shared" si="51"/>
        <v>1.296</v>
      </c>
      <c r="R321" s="341">
        <f t="shared" si="59"/>
        <v>0</v>
      </c>
      <c r="S321" s="287"/>
      <c r="T321" s="287"/>
      <c r="U321" s="279">
        <f t="shared" si="58"/>
        <v>81.806139553988857</v>
      </c>
      <c r="V321" s="290"/>
      <c r="W321" s="290"/>
      <c r="X321" s="291">
        <v>2.1532300000000002</v>
      </c>
    </row>
    <row r="322" spans="1:24" ht="31.5">
      <c r="A322" s="283">
        <f t="shared" si="54"/>
        <v>303</v>
      </c>
      <c r="B322" s="305" t="s">
        <v>179</v>
      </c>
      <c r="C322" s="299">
        <v>2</v>
      </c>
      <c r="D322" s="293"/>
      <c r="E322" s="287">
        <f t="shared" si="52"/>
        <v>86.642032489739989</v>
      </c>
      <c r="F322" s="280">
        <f t="shared" si="56"/>
        <v>20.226976312150207</v>
      </c>
      <c r="G322" s="288"/>
      <c r="H322" s="288"/>
      <c r="I322" s="288"/>
      <c r="J322" s="288">
        <f>E322/C322*0.1*2</f>
        <v>8.6642032489739993</v>
      </c>
      <c r="K322" s="288"/>
      <c r="L322" s="288">
        <f t="shared" si="53"/>
        <v>11.562773063176209</v>
      </c>
      <c r="M322" s="288"/>
      <c r="N322" s="289">
        <f t="shared" si="57"/>
        <v>0.16500000000000001</v>
      </c>
      <c r="O322" s="287">
        <f t="shared" si="60"/>
        <v>14.295935360807098</v>
      </c>
      <c r="P322" s="288"/>
      <c r="Q322" s="288">
        <f t="shared" si="51"/>
        <v>2.5920000000000001</v>
      </c>
      <c r="R322" s="341">
        <f t="shared" si="59"/>
        <v>0</v>
      </c>
      <c r="S322" s="287"/>
      <c r="T322" s="287"/>
      <c r="U322" s="279">
        <f t="shared" si="58"/>
        <v>123.75694416269729</v>
      </c>
      <c r="V322" s="290"/>
      <c r="W322" s="290"/>
      <c r="X322" s="291">
        <v>2.1532300000000002</v>
      </c>
    </row>
    <row r="323" spans="1:24" ht="15.75">
      <c r="A323" s="283">
        <f t="shared" si="54"/>
        <v>304</v>
      </c>
      <c r="B323" s="305" t="s">
        <v>180</v>
      </c>
      <c r="C323" s="299">
        <v>1</v>
      </c>
      <c r="D323" s="293"/>
      <c r="E323" s="287">
        <f t="shared" si="52"/>
        <v>39.277683839724453</v>
      </c>
      <c r="F323" s="280">
        <f t="shared" si="56"/>
        <v>15.061206403268887</v>
      </c>
      <c r="G323" s="288"/>
      <c r="H323" s="288"/>
      <c r="I323" s="288"/>
      <c r="J323" s="288">
        <f>E323/C323*0.25</f>
        <v>9.8194209599311133</v>
      </c>
      <c r="K323" s="288"/>
      <c r="L323" s="288">
        <f t="shared" si="53"/>
        <v>5.2417854433377729</v>
      </c>
      <c r="M323" s="288"/>
      <c r="N323" s="289">
        <f t="shared" si="57"/>
        <v>0.1875</v>
      </c>
      <c r="O323" s="287">
        <f t="shared" si="60"/>
        <v>7.3645657199483345</v>
      </c>
      <c r="P323" s="288"/>
      <c r="Q323" s="288">
        <f t="shared" si="51"/>
        <v>1.296</v>
      </c>
      <c r="R323" s="341">
        <f t="shared" si="59"/>
        <v>0</v>
      </c>
      <c r="S323" s="287"/>
      <c r="T323" s="287"/>
      <c r="U323" s="279">
        <f t="shared" si="58"/>
        <v>62.999455962941674</v>
      </c>
      <c r="V323" s="290"/>
      <c r="W323" s="290"/>
      <c r="X323" s="291">
        <v>1.9522600000000001</v>
      </c>
    </row>
    <row r="324" spans="1:24" ht="15.75">
      <c r="A324" s="283">
        <f t="shared" si="54"/>
        <v>305</v>
      </c>
      <c r="B324" s="305" t="s">
        <v>181</v>
      </c>
      <c r="C324" s="299">
        <v>1</v>
      </c>
      <c r="D324" s="293"/>
      <c r="E324" s="287">
        <f t="shared" si="52"/>
        <v>37.544827094662089</v>
      </c>
      <c r="F324" s="280">
        <f t="shared" si="56"/>
        <v>23.782941381418674</v>
      </c>
      <c r="G324" s="288"/>
      <c r="H324" s="288"/>
      <c r="I324" s="288"/>
      <c r="J324" s="288">
        <f>E324/C324*0.25</f>
        <v>9.3862067736655224</v>
      </c>
      <c r="K324" s="288"/>
      <c r="L324" s="288">
        <f t="shared" si="53"/>
        <v>5.0105278340876316</v>
      </c>
      <c r="M324" s="288">
        <f>E324*0.25</f>
        <v>9.3862067736655224</v>
      </c>
      <c r="N324" s="289">
        <f t="shared" si="57"/>
        <v>0.375</v>
      </c>
      <c r="O324" s="287">
        <f>(E324+G324+H324+I324+J324)*0.3</f>
        <v>14.079310160498283</v>
      </c>
      <c r="P324" s="288"/>
      <c r="Q324" s="288">
        <f t="shared" si="51"/>
        <v>1.296</v>
      </c>
      <c r="R324" s="341">
        <f t="shared" si="59"/>
        <v>0</v>
      </c>
      <c r="S324" s="287"/>
      <c r="T324" s="287"/>
      <c r="U324" s="279">
        <f t="shared" si="58"/>
        <v>76.70307863657905</v>
      </c>
      <c r="V324" s="290"/>
      <c r="W324" s="290"/>
      <c r="X324" s="291">
        <v>1.8661300000000001</v>
      </c>
    </row>
    <row r="325" spans="1:24" ht="15.75">
      <c r="A325" s="283">
        <f t="shared" si="54"/>
        <v>306</v>
      </c>
      <c r="B325" s="305" t="s">
        <v>182</v>
      </c>
      <c r="C325" s="299">
        <v>1</v>
      </c>
      <c r="D325" s="293"/>
      <c r="E325" s="287">
        <f t="shared" si="52"/>
        <v>36.389589264620511</v>
      </c>
      <c r="F325" s="280">
        <f t="shared" si="56"/>
        <v>23.051150726897795</v>
      </c>
      <c r="G325" s="288"/>
      <c r="H325" s="288"/>
      <c r="I325" s="288"/>
      <c r="J325" s="288">
        <f>E325/C325*0.25</f>
        <v>9.0973973161551278</v>
      </c>
      <c r="K325" s="288"/>
      <c r="L325" s="288">
        <f t="shared" si="53"/>
        <v>4.8563560945875377</v>
      </c>
      <c r="M325" s="288">
        <f>E325*0.25</f>
        <v>9.0973973161551278</v>
      </c>
      <c r="N325" s="289">
        <f t="shared" si="57"/>
        <v>0.37499999999999994</v>
      </c>
      <c r="O325" s="287">
        <f>(E325+G325+H325+I325+J325)*0.3</f>
        <v>13.64609597423269</v>
      </c>
      <c r="P325" s="288"/>
      <c r="Q325" s="288">
        <f t="shared" si="51"/>
        <v>1.296</v>
      </c>
      <c r="R325" s="341">
        <f t="shared" si="59"/>
        <v>0</v>
      </c>
      <c r="S325" s="287"/>
      <c r="T325" s="287"/>
      <c r="U325" s="279">
        <f t="shared" si="58"/>
        <v>74.382835965750999</v>
      </c>
      <c r="V325" s="290"/>
      <c r="W325" s="290"/>
      <c r="X325" s="291">
        <v>1.80871</v>
      </c>
    </row>
    <row r="326" spans="1:24" ht="15.75">
      <c r="A326" s="283">
        <f t="shared" si="54"/>
        <v>307</v>
      </c>
      <c r="B326" s="305" t="s">
        <v>183</v>
      </c>
      <c r="C326" s="299">
        <v>1</v>
      </c>
      <c r="D326" s="293"/>
      <c r="E326" s="287">
        <f t="shared" si="52"/>
        <v>36.389589264620511</v>
      </c>
      <c r="F326" s="280">
        <f t="shared" si="56"/>
        <v>23.051150726897795</v>
      </c>
      <c r="G326" s="288"/>
      <c r="H326" s="288"/>
      <c r="I326" s="288"/>
      <c r="J326" s="288">
        <f>E326/C326*0.25</f>
        <v>9.0973973161551278</v>
      </c>
      <c r="K326" s="288"/>
      <c r="L326" s="288">
        <f t="shared" si="53"/>
        <v>4.8563560945875377</v>
      </c>
      <c r="M326" s="288">
        <f>E326*0.25</f>
        <v>9.0973973161551278</v>
      </c>
      <c r="N326" s="289">
        <f t="shared" si="57"/>
        <v>0.18749999999999997</v>
      </c>
      <c r="O326" s="287">
        <f t="shared" si="60"/>
        <v>6.823047987116345</v>
      </c>
      <c r="P326" s="288"/>
      <c r="Q326" s="288">
        <f t="shared" si="51"/>
        <v>1.296</v>
      </c>
      <c r="R326" s="341">
        <f t="shared" si="59"/>
        <v>0</v>
      </c>
      <c r="S326" s="287"/>
      <c r="T326" s="287"/>
      <c r="U326" s="279">
        <f t="shared" si="58"/>
        <v>67.55978797863466</v>
      </c>
      <c r="V326" s="290"/>
      <c r="W326" s="290"/>
      <c r="X326" s="291">
        <v>1.80871</v>
      </c>
    </row>
    <row r="327" spans="1:24" ht="15.75">
      <c r="A327" s="283">
        <f t="shared" si="54"/>
        <v>308</v>
      </c>
      <c r="B327" s="305" t="s">
        <v>184</v>
      </c>
      <c r="C327" s="299">
        <v>1</v>
      </c>
      <c r="D327" s="293"/>
      <c r="E327" s="287">
        <f t="shared" si="52"/>
        <v>41.588159499807624</v>
      </c>
      <c r="F327" s="280">
        <f t="shared" si="56"/>
        <v>15.947168797289869</v>
      </c>
      <c r="G327" s="288"/>
      <c r="H327" s="288"/>
      <c r="I327" s="288"/>
      <c r="J327" s="288">
        <f>E327/C327*0.25</f>
        <v>10.397039874951906</v>
      </c>
      <c r="K327" s="288"/>
      <c r="L327" s="288">
        <f t="shared" si="53"/>
        <v>5.5501289223379633</v>
      </c>
      <c r="M327" s="288"/>
      <c r="N327" s="289">
        <f t="shared" si="57"/>
        <v>0.1875</v>
      </c>
      <c r="O327" s="287">
        <f t="shared" si="60"/>
        <v>7.797779906213929</v>
      </c>
      <c r="P327" s="288"/>
      <c r="Q327" s="288">
        <f t="shared" si="51"/>
        <v>1.296</v>
      </c>
      <c r="R327" s="341">
        <f t="shared" si="59"/>
        <v>0</v>
      </c>
      <c r="S327" s="287"/>
      <c r="T327" s="287"/>
      <c r="U327" s="279">
        <f t="shared" si="58"/>
        <v>66.629108203311432</v>
      </c>
      <c r="V327" s="290"/>
      <c r="W327" s="290"/>
      <c r="X327" s="291">
        <v>2.0670999999999999</v>
      </c>
    </row>
    <row r="328" spans="1:24" ht="31.5">
      <c r="A328" s="283">
        <f t="shared" si="54"/>
        <v>309</v>
      </c>
      <c r="B328" s="305" t="s">
        <v>365</v>
      </c>
      <c r="C328" s="299">
        <v>1</v>
      </c>
      <c r="D328" s="293"/>
      <c r="E328" s="287">
        <f t="shared" si="52"/>
        <v>39.277683839724453</v>
      </c>
      <c r="F328" s="280">
        <f t="shared" si="56"/>
        <v>9.1695538273102173</v>
      </c>
      <c r="G328" s="288"/>
      <c r="H328" s="288"/>
      <c r="I328" s="288"/>
      <c r="J328" s="288">
        <f>E328/C328*0.1</f>
        <v>3.9277683839724453</v>
      </c>
      <c r="K328" s="288"/>
      <c r="L328" s="288">
        <f t="shared" si="53"/>
        <v>5.2417854433377729</v>
      </c>
      <c r="M328" s="288"/>
      <c r="N328" s="289">
        <f t="shared" si="57"/>
        <v>0.16499999999999998</v>
      </c>
      <c r="O328" s="287">
        <f t="shared" si="60"/>
        <v>6.4808178335545339</v>
      </c>
      <c r="P328" s="288"/>
      <c r="Q328" s="288">
        <f t="shared" si="51"/>
        <v>1.296</v>
      </c>
      <c r="R328" s="341">
        <f t="shared" si="59"/>
        <v>0</v>
      </c>
      <c r="S328" s="287"/>
      <c r="T328" s="287"/>
      <c r="U328" s="279">
        <f t="shared" si="58"/>
        <v>56.224055500589202</v>
      </c>
      <c r="V328" s="290"/>
      <c r="W328" s="290"/>
      <c r="X328" s="291">
        <v>1.9522600000000001</v>
      </c>
    </row>
    <row r="329" spans="1:24" ht="15.75">
      <c r="A329" s="283">
        <f t="shared" si="54"/>
        <v>310</v>
      </c>
      <c r="B329" s="305" t="s">
        <v>366</v>
      </c>
      <c r="C329" s="299">
        <v>1</v>
      </c>
      <c r="D329" s="293"/>
      <c r="E329" s="287">
        <f t="shared" si="52"/>
        <v>37.544827094662089</v>
      </c>
      <c r="F329" s="280">
        <f t="shared" si="56"/>
        <v>8.7650105435538403</v>
      </c>
      <c r="G329" s="288"/>
      <c r="H329" s="288"/>
      <c r="I329" s="288"/>
      <c r="J329" s="288">
        <f>E329/C329*0.1</f>
        <v>3.7544827094662092</v>
      </c>
      <c r="K329" s="288"/>
      <c r="L329" s="288">
        <f t="shared" si="53"/>
        <v>5.0105278340876316</v>
      </c>
      <c r="M329" s="288"/>
      <c r="N329" s="289">
        <f t="shared" si="57"/>
        <v>0.16500000000000001</v>
      </c>
      <c r="O329" s="287">
        <f t="shared" si="60"/>
        <v>6.1948964706192449</v>
      </c>
      <c r="P329" s="288"/>
      <c r="Q329" s="288">
        <f t="shared" si="51"/>
        <v>1.296</v>
      </c>
      <c r="R329" s="341">
        <f t="shared" si="59"/>
        <v>0</v>
      </c>
      <c r="S329" s="287"/>
      <c r="T329" s="287"/>
      <c r="U329" s="279">
        <f t="shared" si="58"/>
        <v>53.800734108835179</v>
      </c>
      <c r="V329" s="290"/>
      <c r="W329" s="290"/>
      <c r="X329" s="291">
        <v>1.8661300000000001</v>
      </c>
    </row>
    <row r="330" spans="1:24" ht="31.5">
      <c r="A330" s="283">
        <f t="shared" si="54"/>
        <v>311</v>
      </c>
      <c r="B330" s="305" t="s">
        <v>367</v>
      </c>
      <c r="C330" s="299">
        <v>3</v>
      </c>
      <c r="D330" s="293"/>
      <c r="E330" s="287">
        <f t="shared" si="52"/>
        <v>124.76447849942288</v>
      </c>
      <c r="F330" s="280">
        <f t="shared" si="56"/>
        <v>20.809202716994655</v>
      </c>
      <c r="G330" s="288"/>
      <c r="H330" s="288"/>
      <c r="I330" s="288"/>
      <c r="J330" s="288">
        <f>E330/C330*0.1</f>
        <v>4.1588159499807622</v>
      </c>
      <c r="K330" s="288"/>
      <c r="L330" s="288">
        <f t="shared" si="53"/>
        <v>16.650386767013892</v>
      </c>
      <c r="M330" s="288"/>
      <c r="N330" s="289">
        <f t="shared" si="57"/>
        <v>0.155</v>
      </c>
      <c r="O330" s="287">
        <f t="shared" si="60"/>
        <v>19.338494167410545</v>
      </c>
      <c r="P330" s="288"/>
      <c r="Q330" s="288">
        <f t="shared" si="51"/>
        <v>3.8879999999999999</v>
      </c>
      <c r="R330" s="341">
        <f t="shared" si="59"/>
        <v>0</v>
      </c>
      <c r="S330" s="287"/>
      <c r="T330" s="287"/>
      <c r="U330" s="279">
        <f t="shared" si="58"/>
        <v>168.80017538382808</v>
      </c>
      <c r="V330" s="290"/>
      <c r="W330" s="290"/>
      <c r="X330" s="291">
        <v>2.0670999999999999</v>
      </c>
    </row>
    <row r="331" spans="1:24" ht="31.5">
      <c r="A331" s="283">
        <f t="shared" si="54"/>
        <v>312</v>
      </c>
      <c r="B331" s="305" t="s">
        <v>368</v>
      </c>
      <c r="C331" s="299">
        <v>3</v>
      </c>
      <c r="D331" s="293"/>
      <c r="E331" s="287">
        <f t="shared" si="52"/>
        <v>124.76447849942288</v>
      </c>
      <c r="F331" s="280">
        <f t="shared" si="56"/>
        <v>31.206242591946559</v>
      </c>
      <c r="G331" s="288"/>
      <c r="H331" s="288"/>
      <c r="I331" s="288"/>
      <c r="J331" s="288">
        <f>E331/C331*0.1+E331/C331*0.25</f>
        <v>14.555855824932667</v>
      </c>
      <c r="K331" s="288"/>
      <c r="L331" s="288">
        <f t="shared" si="53"/>
        <v>16.650386767013892</v>
      </c>
      <c r="M331" s="288"/>
      <c r="N331" s="289">
        <f t="shared" si="57"/>
        <v>0.16749999999999998</v>
      </c>
      <c r="O331" s="287">
        <f t="shared" si="60"/>
        <v>20.898050148653329</v>
      </c>
      <c r="P331" s="288"/>
      <c r="Q331" s="288">
        <f t="shared" si="51"/>
        <v>3.8879999999999999</v>
      </c>
      <c r="R331" s="341">
        <f t="shared" si="59"/>
        <v>0</v>
      </c>
      <c r="S331" s="287"/>
      <c r="T331" s="287"/>
      <c r="U331" s="279">
        <f t="shared" si="58"/>
        <v>180.75677124002277</v>
      </c>
      <c r="V331" s="290"/>
      <c r="W331" s="290"/>
      <c r="X331" s="291">
        <v>2.0670999999999999</v>
      </c>
    </row>
    <row r="332" spans="1:24" ht="31.5">
      <c r="A332" s="283">
        <f t="shared" si="54"/>
        <v>313</v>
      </c>
      <c r="B332" s="305" t="s">
        <v>369</v>
      </c>
      <c r="C332" s="299">
        <v>2</v>
      </c>
      <c r="D332" s="293"/>
      <c r="E332" s="287">
        <f t="shared" si="52"/>
        <v>83.176318999615248</v>
      </c>
      <c r="F332" s="280">
        <f t="shared" si="56"/>
        <v>31.894337594579738</v>
      </c>
      <c r="G332" s="288"/>
      <c r="H332" s="288"/>
      <c r="I332" s="288"/>
      <c r="J332" s="288">
        <f>E332/C332*0.25*2</f>
        <v>20.794079749903812</v>
      </c>
      <c r="K332" s="288"/>
      <c r="L332" s="288">
        <f t="shared" si="53"/>
        <v>11.100257844675927</v>
      </c>
      <c r="M332" s="288"/>
      <c r="N332" s="289">
        <f t="shared" si="57"/>
        <v>0.1875</v>
      </c>
      <c r="O332" s="287">
        <f t="shared" si="60"/>
        <v>15.595559812427858</v>
      </c>
      <c r="P332" s="288"/>
      <c r="Q332" s="288">
        <f t="shared" si="51"/>
        <v>2.5920000000000001</v>
      </c>
      <c r="R332" s="341">
        <f t="shared" si="59"/>
        <v>0</v>
      </c>
      <c r="S332" s="287"/>
      <c r="T332" s="287"/>
      <c r="U332" s="279">
        <f t="shared" si="58"/>
        <v>133.25821640662286</v>
      </c>
      <c r="V332" s="290"/>
      <c r="W332" s="290"/>
      <c r="X332" s="291">
        <v>2.0670999999999999</v>
      </c>
    </row>
    <row r="333" spans="1:24" ht="31.35" customHeight="1">
      <c r="A333" s="283">
        <f t="shared" si="54"/>
        <v>314</v>
      </c>
      <c r="B333" s="305" t="s">
        <v>370</v>
      </c>
      <c r="C333" s="299">
        <v>1</v>
      </c>
      <c r="D333" s="293"/>
      <c r="E333" s="287">
        <f t="shared" si="52"/>
        <v>41.588159499807624</v>
      </c>
      <c r="F333" s="280">
        <f t="shared" si="56"/>
        <v>26.344208672241777</v>
      </c>
      <c r="G333" s="288"/>
      <c r="H333" s="288"/>
      <c r="I333" s="288"/>
      <c r="J333" s="288">
        <f>E333/C333*0.25*2</f>
        <v>20.794079749903812</v>
      </c>
      <c r="K333" s="288"/>
      <c r="L333" s="288">
        <f t="shared" si="53"/>
        <v>5.5501289223379633</v>
      </c>
      <c r="M333" s="288"/>
      <c r="N333" s="289">
        <f t="shared" si="57"/>
        <v>0.22500000000000001</v>
      </c>
      <c r="O333" s="287">
        <f t="shared" si="60"/>
        <v>9.3573358874567152</v>
      </c>
      <c r="P333" s="288"/>
      <c r="Q333" s="288">
        <f t="shared" si="51"/>
        <v>1.296</v>
      </c>
      <c r="R333" s="341">
        <f t="shared" si="59"/>
        <v>0</v>
      </c>
      <c r="S333" s="287"/>
      <c r="T333" s="287"/>
      <c r="U333" s="279">
        <f t="shared" si="58"/>
        <v>78.585704059506114</v>
      </c>
      <c r="V333" s="290"/>
      <c r="W333" s="290"/>
      <c r="X333" s="291">
        <v>2.0670999999999999</v>
      </c>
    </row>
    <row r="334" spans="1:24" ht="46.9" customHeight="1">
      <c r="A334" s="283">
        <f t="shared" si="54"/>
        <v>315</v>
      </c>
      <c r="B334" s="305" t="s">
        <v>371</v>
      </c>
      <c r="C334" s="299">
        <v>4</v>
      </c>
      <c r="D334" s="293"/>
      <c r="E334" s="287">
        <f t="shared" si="52"/>
        <v>196.38801681693295</v>
      </c>
      <c r="F334" s="280">
        <f t="shared" si="56"/>
        <v>60.576776459986682</v>
      </c>
      <c r="G334" s="288"/>
      <c r="H334" s="288"/>
      <c r="I334" s="288"/>
      <c r="J334" s="288">
        <f>E334/C334*0.25*2+E334/C334*0.1*2</f>
        <v>34.367902942963269</v>
      </c>
      <c r="K334" s="288"/>
      <c r="L334" s="288">
        <f t="shared" si="53"/>
        <v>26.208873517023413</v>
      </c>
      <c r="M334" s="288"/>
      <c r="N334" s="289">
        <f t="shared" si="57"/>
        <v>0.17624999999999999</v>
      </c>
      <c r="O334" s="287">
        <f t="shared" si="60"/>
        <v>34.61338796398443</v>
      </c>
      <c r="P334" s="288"/>
      <c r="Q334" s="288">
        <f t="shared" ref="Q334:Q394" si="61">0.216*6*C334</f>
        <v>5.1840000000000002</v>
      </c>
      <c r="R334" s="341">
        <f t="shared" si="59"/>
        <v>0</v>
      </c>
      <c r="S334" s="287"/>
      <c r="T334" s="287"/>
      <c r="U334" s="279">
        <f t="shared" si="58"/>
        <v>296.76218124090411</v>
      </c>
      <c r="V334" s="290"/>
      <c r="W334" s="290"/>
      <c r="X334" s="291">
        <v>2.4403199999999998</v>
      </c>
    </row>
    <row r="335" spans="1:24" ht="31.35" customHeight="1">
      <c r="A335" s="283">
        <f t="shared" si="54"/>
        <v>316</v>
      </c>
      <c r="B335" s="305" t="s">
        <v>372</v>
      </c>
      <c r="C335" s="299">
        <v>1</v>
      </c>
      <c r="D335" s="293"/>
      <c r="E335" s="287">
        <f t="shared" ref="E335:E392" si="62">X335*11*(C335-D335)*1.063*1.13045*1.1611*1.0487*1.25</f>
        <v>49.097004204233237</v>
      </c>
      <c r="F335" s="280">
        <f t="shared" si="56"/>
        <v>11.461918799679177</v>
      </c>
      <c r="G335" s="288"/>
      <c r="H335" s="288"/>
      <c r="I335" s="288"/>
      <c r="J335" s="288">
        <f>E335/C335*0.1</f>
        <v>4.9097004204233237</v>
      </c>
      <c r="K335" s="288"/>
      <c r="L335" s="288">
        <f t="shared" si="53"/>
        <v>6.5522183792558533</v>
      </c>
      <c r="M335" s="288"/>
      <c r="N335" s="289">
        <f t="shared" si="57"/>
        <v>0.16500000000000001</v>
      </c>
      <c r="O335" s="287">
        <f t="shared" si="60"/>
        <v>8.1010056936984842</v>
      </c>
      <c r="P335" s="288"/>
      <c r="Q335" s="288">
        <f t="shared" si="61"/>
        <v>1.296</v>
      </c>
      <c r="R335" s="341">
        <f t="shared" si="59"/>
        <v>0</v>
      </c>
      <c r="S335" s="287"/>
      <c r="T335" s="287"/>
      <c r="U335" s="279">
        <f t="shared" si="58"/>
        <v>69.955928697610901</v>
      </c>
      <c r="V335" s="290"/>
      <c r="W335" s="290"/>
      <c r="X335" s="291">
        <v>2.4403199999999998</v>
      </c>
    </row>
    <row r="336" spans="1:24" ht="31.5">
      <c r="A336" s="283">
        <f t="shared" si="54"/>
        <v>317</v>
      </c>
      <c r="B336" s="305" t="s">
        <v>373</v>
      </c>
      <c r="C336" s="299">
        <v>0.5</v>
      </c>
      <c r="D336" s="293"/>
      <c r="E336" s="287">
        <f t="shared" si="62"/>
        <v>21.660508122434997</v>
      </c>
      <c r="F336" s="280">
        <f t="shared" si="56"/>
        <v>13.720947327011551</v>
      </c>
      <c r="G336" s="288"/>
      <c r="H336" s="288"/>
      <c r="I336" s="288"/>
      <c r="J336" s="288">
        <f>E336/C336*0.25</f>
        <v>10.830254061217499</v>
      </c>
      <c r="K336" s="288"/>
      <c r="L336" s="288">
        <f t="shared" si="53"/>
        <v>2.8906932657940523</v>
      </c>
      <c r="M336" s="288"/>
      <c r="N336" s="289">
        <f t="shared" si="57"/>
        <v>0.22499999999999998</v>
      </c>
      <c r="O336" s="287">
        <f t="shared" si="60"/>
        <v>4.873614327547874</v>
      </c>
      <c r="P336" s="288"/>
      <c r="Q336" s="288">
        <f t="shared" si="61"/>
        <v>0.64800000000000002</v>
      </c>
      <c r="R336" s="341">
        <f t="shared" si="59"/>
        <v>0</v>
      </c>
      <c r="S336" s="287"/>
      <c r="T336" s="287"/>
      <c r="U336" s="279">
        <f t="shared" si="58"/>
        <v>40.903069776994428</v>
      </c>
      <c r="V336" s="290"/>
      <c r="W336" s="290"/>
      <c r="X336" s="291">
        <v>2.1532300000000002</v>
      </c>
    </row>
    <row r="337" spans="1:24" ht="31.5">
      <c r="A337" s="283">
        <f t="shared" si="54"/>
        <v>318</v>
      </c>
      <c r="B337" s="305" t="s">
        <v>374</v>
      </c>
      <c r="C337" s="299">
        <v>1</v>
      </c>
      <c r="D337" s="293"/>
      <c r="E337" s="287">
        <f t="shared" si="62"/>
        <v>54.295574439420371</v>
      </c>
      <c r="F337" s="280">
        <f t="shared" si="56"/>
        <v>20.819884816861375</v>
      </c>
      <c r="G337" s="288"/>
      <c r="H337" s="288"/>
      <c r="I337" s="288"/>
      <c r="J337" s="288">
        <f>E337/C337*0.25</f>
        <v>13.573893609855093</v>
      </c>
      <c r="K337" s="288"/>
      <c r="L337" s="288">
        <f t="shared" ref="L337:L392" si="63">E337/11*1.468</f>
        <v>7.2459912070062824</v>
      </c>
      <c r="M337" s="288"/>
      <c r="N337" s="289">
        <f t="shared" si="57"/>
        <v>0.1875</v>
      </c>
      <c r="O337" s="287">
        <f t="shared" si="60"/>
        <v>10.18042020739132</v>
      </c>
      <c r="P337" s="288"/>
      <c r="Q337" s="288">
        <f t="shared" si="61"/>
        <v>1.296</v>
      </c>
      <c r="R337" s="341">
        <f t="shared" si="59"/>
        <v>0</v>
      </c>
      <c r="S337" s="287"/>
      <c r="T337" s="287"/>
      <c r="U337" s="279">
        <f t="shared" si="58"/>
        <v>86.591879463673081</v>
      </c>
      <c r="V337" s="290"/>
      <c r="W337" s="290"/>
      <c r="X337" s="291">
        <v>2.6987100000000002</v>
      </c>
    </row>
    <row r="338" spans="1:24" ht="31.5">
      <c r="A338" s="283">
        <f t="shared" si="54"/>
        <v>319</v>
      </c>
      <c r="B338" s="305" t="s">
        <v>375</v>
      </c>
      <c r="C338" s="299">
        <v>1</v>
      </c>
      <c r="D338" s="293"/>
      <c r="E338" s="287">
        <f t="shared" si="62"/>
        <v>54.295574439420371</v>
      </c>
      <c r="F338" s="280">
        <f t="shared" si="56"/>
        <v>20.819884816861375</v>
      </c>
      <c r="G338" s="288"/>
      <c r="H338" s="288"/>
      <c r="I338" s="288"/>
      <c r="J338" s="288">
        <f>E338/C338*0.25</f>
        <v>13.573893609855093</v>
      </c>
      <c r="K338" s="288"/>
      <c r="L338" s="288">
        <f t="shared" si="63"/>
        <v>7.2459912070062824</v>
      </c>
      <c r="M338" s="288"/>
      <c r="N338" s="289">
        <f t="shared" si="57"/>
        <v>0.1875</v>
      </c>
      <c r="O338" s="287">
        <f t="shared" si="60"/>
        <v>10.18042020739132</v>
      </c>
      <c r="P338" s="288"/>
      <c r="Q338" s="288">
        <f t="shared" si="61"/>
        <v>1.296</v>
      </c>
      <c r="R338" s="341">
        <f t="shared" si="59"/>
        <v>0</v>
      </c>
      <c r="S338" s="287"/>
      <c r="T338" s="287"/>
      <c r="U338" s="279">
        <f t="shared" si="58"/>
        <v>86.591879463673081</v>
      </c>
      <c r="V338" s="290"/>
      <c r="W338" s="290"/>
      <c r="X338" s="291">
        <v>2.6987100000000002</v>
      </c>
    </row>
    <row r="339" spans="1:24" ht="31.35" customHeight="1">
      <c r="A339" s="283">
        <f t="shared" si="54"/>
        <v>320</v>
      </c>
      <c r="B339" s="305" t="s">
        <v>376</v>
      </c>
      <c r="C339" s="299">
        <v>3</v>
      </c>
      <c r="D339" s="293"/>
      <c r="E339" s="287">
        <f t="shared" si="62"/>
        <v>129.96304873461003</v>
      </c>
      <c r="F339" s="280">
        <f t="shared" si="56"/>
        <v>49.834921778416827</v>
      </c>
      <c r="G339" s="288"/>
      <c r="H339" s="288"/>
      <c r="I339" s="288"/>
      <c r="J339" s="288">
        <f>E339/C339*0.25*3</f>
        <v>32.490762183652507</v>
      </c>
      <c r="K339" s="288"/>
      <c r="L339" s="288">
        <f t="shared" si="63"/>
        <v>17.344159594764321</v>
      </c>
      <c r="M339" s="288"/>
      <c r="N339" s="289">
        <f t="shared" si="57"/>
        <v>0.1875</v>
      </c>
      <c r="O339" s="287">
        <f t="shared" si="60"/>
        <v>24.36807163773938</v>
      </c>
      <c r="P339" s="288"/>
      <c r="Q339" s="288">
        <f t="shared" si="61"/>
        <v>3.8879999999999999</v>
      </c>
      <c r="R339" s="341">
        <f t="shared" si="59"/>
        <v>0</v>
      </c>
      <c r="S339" s="287"/>
      <c r="T339" s="287"/>
      <c r="U339" s="279">
        <f t="shared" si="58"/>
        <v>208.05404215076624</v>
      </c>
      <c r="V339" s="290"/>
      <c r="W339" s="290"/>
      <c r="X339" s="291">
        <v>2.1532300000000002</v>
      </c>
    </row>
    <row r="340" spans="1:24" ht="15.75">
      <c r="A340" s="283">
        <f t="shared" si="54"/>
        <v>321</v>
      </c>
      <c r="B340" s="305" t="s">
        <v>377</v>
      </c>
      <c r="C340" s="299">
        <v>1</v>
      </c>
      <c r="D340" s="293"/>
      <c r="E340" s="287">
        <f t="shared" si="62"/>
        <v>41.588159499807624</v>
      </c>
      <c r="F340" s="280">
        <f t="shared" si="56"/>
        <v>26.344208672241777</v>
      </c>
      <c r="G340" s="288"/>
      <c r="H340" s="288"/>
      <c r="I340" s="288"/>
      <c r="J340" s="288">
        <f>E340/C340*0.25*2</f>
        <v>20.794079749903812</v>
      </c>
      <c r="K340" s="288"/>
      <c r="L340" s="288">
        <f t="shared" si="63"/>
        <v>5.5501289223379633</v>
      </c>
      <c r="M340" s="288"/>
      <c r="N340" s="289">
        <f t="shared" si="57"/>
        <v>0.22500000000000001</v>
      </c>
      <c r="O340" s="287">
        <f t="shared" si="60"/>
        <v>9.3573358874567152</v>
      </c>
      <c r="P340" s="288"/>
      <c r="Q340" s="288">
        <f t="shared" si="61"/>
        <v>1.296</v>
      </c>
      <c r="R340" s="341">
        <f t="shared" si="59"/>
        <v>0</v>
      </c>
      <c r="S340" s="287"/>
      <c r="T340" s="287"/>
      <c r="U340" s="279">
        <f t="shared" si="58"/>
        <v>78.585704059506114</v>
      </c>
      <c r="V340" s="290"/>
      <c r="W340" s="290"/>
      <c r="X340" s="291">
        <v>2.0670999999999999</v>
      </c>
    </row>
    <row r="341" spans="1:24" ht="31.5">
      <c r="A341" s="283">
        <f t="shared" si="54"/>
        <v>322</v>
      </c>
      <c r="B341" s="305" t="s">
        <v>378</v>
      </c>
      <c r="C341" s="299">
        <v>1</v>
      </c>
      <c r="D341" s="293"/>
      <c r="E341" s="287">
        <f t="shared" si="62"/>
        <v>45.631290714108495</v>
      </c>
      <c r="F341" s="280">
        <f t="shared" si="56"/>
        <v>17.497525839282694</v>
      </c>
      <c r="G341" s="288"/>
      <c r="H341" s="288"/>
      <c r="I341" s="288"/>
      <c r="J341" s="288">
        <f>E341/C341*0.25</f>
        <v>11.407822678527124</v>
      </c>
      <c r="K341" s="288"/>
      <c r="L341" s="288">
        <f t="shared" si="63"/>
        <v>6.0897031607555707</v>
      </c>
      <c r="M341" s="288"/>
      <c r="N341" s="289">
        <f t="shared" si="57"/>
        <v>0.1875</v>
      </c>
      <c r="O341" s="287">
        <f t="shared" si="60"/>
        <v>8.5558670088953424</v>
      </c>
      <c r="P341" s="288"/>
      <c r="Q341" s="288">
        <f t="shared" si="61"/>
        <v>1.296</v>
      </c>
      <c r="R341" s="341">
        <f t="shared" ref="R341:R374" si="64">SUM(S341:T341)</f>
        <v>0</v>
      </c>
      <c r="S341" s="287"/>
      <c r="T341" s="287"/>
      <c r="U341" s="279">
        <f t="shared" si="58"/>
        <v>72.980683562286544</v>
      </c>
      <c r="V341" s="290"/>
      <c r="W341" s="290"/>
      <c r="X341" s="291">
        <v>2.2680600000000002</v>
      </c>
    </row>
    <row r="342" spans="1:24" ht="31.5">
      <c r="A342" s="283">
        <f t="shared" si="54"/>
        <v>323</v>
      </c>
      <c r="B342" s="305" t="s">
        <v>379</v>
      </c>
      <c r="C342" s="299">
        <v>1</v>
      </c>
      <c r="D342" s="293"/>
      <c r="E342" s="287">
        <f t="shared" si="62"/>
        <v>49.097004204233237</v>
      </c>
      <c r="F342" s="280">
        <f t="shared" si="56"/>
        <v>18.826469430314162</v>
      </c>
      <c r="G342" s="288"/>
      <c r="H342" s="288"/>
      <c r="I342" s="288"/>
      <c r="J342" s="288">
        <f>E342/C342*0.25</f>
        <v>12.274251051058309</v>
      </c>
      <c r="K342" s="288"/>
      <c r="L342" s="288">
        <f t="shared" si="63"/>
        <v>6.5522183792558533</v>
      </c>
      <c r="M342" s="288"/>
      <c r="N342" s="289">
        <f t="shared" si="57"/>
        <v>0.18749999999999997</v>
      </c>
      <c r="O342" s="287">
        <f t="shared" si="60"/>
        <v>9.2056882882937305</v>
      </c>
      <c r="P342" s="288"/>
      <c r="Q342" s="288">
        <f t="shared" si="61"/>
        <v>1.296</v>
      </c>
      <c r="R342" s="341">
        <f t="shared" si="64"/>
        <v>0</v>
      </c>
      <c r="S342" s="287"/>
      <c r="T342" s="287"/>
      <c r="U342" s="279">
        <f t="shared" si="58"/>
        <v>78.425161922841141</v>
      </c>
      <c r="V342" s="290"/>
      <c r="W342" s="290"/>
      <c r="X342" s="291">
        <v>2.4403199999999998</v>
      </c>
    </row>
    <row r="343" spans="1:24" ht="31.35" customHeight="1">
      <c r="A343" s="283">
        <f t="shared" si="54"/>
        <v>324</v>
      </c>
      <c r="B343" s="305" t="s">
        <v>380</v>
      </c>
      <c r="C343" s="299">
        <v>1</v>
      </c>
      <c r="D343" s="293"/>
      <c r="E343" s="287">
        <f t="shared" si="62"/>
        <v>45.631290714108495</v>
      </c>
      <c r="F343" s="280">
        <f t="shared" si="56"/>
        <v>6.0897031607555707</v>
      </c>
      <c r="G343" s="288"/>
      <c r="H343" s="288"/>
      <c r="I343" s="288"/>
      <c r="J343" s="288"/>
      <c r="K343" s="288"/>
      <c r="L343" s="288">
        <f t="shared" si="63"/>
        <v>6.0897031607555707</v>
      </c>
      <c r="M343" s="288"/>
      <c r="N343" s="289">
        <f t="shared" si="57"/>
        <v>0.15</v>
      </c>
      <c r="O343" s="287">
        <f t="shared" si="60"/>
        <v>6.8446936071162741</v>
      </c>
      <c r="P343" s="288"/>
      <c r="Q343" s="288">
        <f t="shared" si="61"/>
        <v>1.296</v>
      </c>
      <c r="R343" s="341">
        <f t="shared" si="64"/>
        <v>0</v>
      </c>
      <c r="S343" s="287"/>
      <c r="T343" s="287"/>
      <c r="U343" s="279">
        <f t="shared" si="58"/>
        <v>59.86168748198034</v>
      </c>
      <c r="V343" s="290"/>
      <c r="W343" s="290"/>
      <c r="X343" s="291">
        <v>2.2680600000000002</v>
      </c>
    </row>
    <row r="344" spans="1:24" ht="31.35" customHeight="1">
      <c r="A344" s="283">
        <f t="shared" ref="A344:A394" si="65">A343+1</f>
        <v>325</v>
      </c>
      <c r="B344" s="305" t="s">
        <v>381</v>
      </c>
      <c r="C344" s="299">
        <v>1</v>
      </c>
      <c r="D344" s="293"/>
      <c r="E344" s="287">
        <f t="shared" si="62"/>
        <v>36.389589264620511</v>
      </c>
      <c r="F344" s="280">
        <f t="shared" si="56"/>
        <v>4.8563560945875377</v>
      </c>
      <c r="G344" s="288"/>
      <c r="H344" s="288"/>
      <c r="I344" s="288"/>
      <c r="J344" s="288"/>
      <c r="K344" s="288"/>
      <c r="L344" s="288">
        <f t="shared" si="63"/>
        <v>4.8563560945875377</v>
      </c>
      <c r="M344" s="288"/>
      <c r="N344" s="289">
        <f t="shared" si="57"/>
        <v>0.15</v>
      </c>
      <c r="O344" s="287">
        <f t="shared" si="60"/>
        <v>5.4584383896930762</v>
      </c>
      <c r="P344" s="288"/>
      <c r="Q344" s="288">
        <f t="shared" si="61"/>
        <v>1.296</v>
      </c>
      <c r="R344" s="341">
        <f t="shared" si="64"/>
        <v>0</v>
      </c>
      <c r="S344" s="287"/>
      <c r="T344" s="287"/>
      <c r="U344" s="279">
        <f t="shared" si="58"/>
        <v>48.000383748901129</v>
      </c>
      <c r="V344" s="290"/>
      <c r="W344" s="290"/>
      <c r="X344" s="291">
        <v>1.80871</v>
      </c>
    </row>
    <row r="345" spans="1:24" ht="31.35" customHeight="1">
      <c r="A345" s="283">
        <f t="shared" si="65"/>
        <v>326</v>
      </c>
      <c r="B345" s="305" t="s">
        <v>382</v>
      </c>
      <c r="C345" s="299">
        <v>1</v>
      </c>
      <c r="D345" s="293"/>
      <c r="E345" s="287">
        <f t="shared" si="62"/>
        <v>36.389589264620511</v>
      </c>
      <c r="F345" s="280">
        <f t="shared" si="56"/>
        <v>4.8563560945875377</v>
      </c>
      <c r="G345" s="288"/>
      <c r="H345" s="288"/>
      <c r="I345" s="288"/>
      <c r="J345" s="288"/>
      <c r="K345" s="288"/>
      <c r="L345" s="288">
        <f t="shared" si="63"/>
        <v>4.8563560945875377</v>
      </c>
      <c r="M345" s="288"/>
      <c r="N345" s="289">
        <f t="shared" si="57"/>
        <v>0.15</v>
      </c>
      <c r="O345" s="287">
        <f t="shared" si="60"/>
        <v>5.4584383896930762</v>
      </c>
      <c r="P345" s="288"/>
      <c r="Q345" s="288">
        <f t="shared" si="61"/>
        <v>1.296</v>
      </c>
      <c r="R345" s="341">
        <f t="shared" si="64"/>
        <v>0</v>
      </c>
      <c r="S345" s="287"/>
      <c r="T345" s="287"/>
      <c r="U345" s="279">
        <f t="shared" si="58"/>
        <v>48.000383748901129</v>
      </c>
      <c r="V345" s="290"/>
      <c r="W345" s="290"/>
      <c r="X345" s="291">
        <v>1.80871</v>
      </c>
    </row>
    <row r="346" spans="1:24" ht="15.75">
      <c r="A346" s="283">
        <f t="shared" si="65"/>
        <v>327</v>
      </c>
      <c r="B346" s="305" t="s">
        <v>383</v>
      </c>
      <c r="C346" s="299">
        <v>1</v>
      </c>
      <c r="D346" s="293"/>
      <c r="E346" s="287">
        <f t="shared" si="62"/>
        <v>36.389589264620511</v>
      </c>
      <c r="F346" s="280">
        <f t="shared" si="56"/>
        <v>4.8563560945875377</v>
      </c>
      <c r="G346" s="288"/>
      <c r="H346" s="288"/>
      <c r="I346" s="288"/>
      <c r="J346" s="288"/>
      <c r="K346" s="288"/>
      <c r="L346" s="288">
        <f t="shared" si="63"/>
        <v>4.8563560945875377</v>
      </c>
      <c r="M346" s="288"/>
      <c r="N346" s="289">
        <f t="shared" si="57"/>
        <v>0.15</v>
      </c>
      <c r="O346" s="287">
        <f t="shared" si="60"/>
        <v>5.4584383896930762</v>
      </c>
      <c r="P346" s="288"/>
      <c r="Q346" s="288">
        <f t="shared" si="61"/>
        <v>1.296</v>
      </c>
      <c r="R346" s="341">
        <f t="shared" si="64"/>
        <v>0</v>
      </c>
      <c r="S346" s="287"/>
      <c r="T346" s="287"/>
      <c r="U346" s="279">
        <f t="shared" si="58"/>
        <v>48.000383748901129</v>
      </c>
      <c r="V346" s="290"/>
      <c r="W346" s="290"/>
      <c r="X346" s="291">
        <v>1.80871</v>
      </c>
    </row>
    <row r="347" spans="1:24" ht="31.5">
      <c r="A347" s="283">
        <f t="shared" si="65"/>
        <v>328</v>
      </c>
      <c r="B347" s="305" t="s">
        <v>384</v>
      </c>
      <c r="C347" s="299">
        <v>0</v>
      </c>
      <c r="D347" s="293"/>
      <c r="E347" s="287">
        <f t="shared" si="62"/>
        <v>0</v>
      </c>
      <c r="F347" s="280">
        <f t="shared" si="56"/>
        <v>0</v>
      </c>
      <c r="G347" s="288"/>
      <c r="H347" s="288"/>
      <c r="I347" s="288"/>
      <c r="J347" s="288"/>
      <c r="K347" s="288"/>
      <c r="L347" s="288">
        <f t="shared" si="63"/>
        <v>0</v>
      </c>
      <c r="M347" s="288"/>
      <c r="N347" s="289" t="e">
        <f t="shared" si="57"/>
        <v>#DIV/0!</v>
      </c>
      <c r="O347" s="287">
        <f t="shared" si="60"/>
        <v>0</v>
      </c>
      <c r="P347" s="288"/>
      <c r="Q347" s="288">
        <f t="shared" si="61"/>
        <v>0</v>
      </c>
      <c r="R347" s="341">
        <f t="shared" si="64"/>
        <v>0</v>
      </c>
      <c r="S347" s="287"/>
      <c r="T347" s="287"/>
      <c r="U347" s="279">
        <f t="shared" si="58"/>
        <v>0</v>
      </c>
      <c r="V347" s="290"/>
      <c r="W347" s="290"/>
      <c r="X347" s="291">
        <v>1.80871</v>
      </c>
    </row>
    <row r="348" spans="1:24" ht="15.75">
      <c r="A348" s="283">
        <f t="shared" si="65"/>
        <v>329</v>
      </c>
      <c r="B348" s="305" t="s">
        <v>385</v>
      </c>
      <c r="C348" s="299">
        <v>2</v>
      </c>
      <c r="D348" s="293"/>
      <c r="E348" s="287">
        <f t="shared" si="62"/>
        <v>72.779178529241022</v>
      </c>
      <c r="F348" s="280">
        <f t="shared" si="56"/>
        <v>13.351671115637126</v>
      </c>
      <c r="G348" s="288"/>
      <c r="H348" s="288"/>
      <c r="I348" s="288"/>
      <c r="J348" s="288">
        <f>E348/C348*0.1</f>
        <v>3.6389589264620512</v>
      </c>
      <c r="K348" s="288"/>
      <c r="L348" s="288">
        <f t="shared" si="63"/>
        <v>9.7127121891750754</v>
      </c>
      <c r="M348" s="288"/>
      <c r="N348" s="289">
        <f t="shared" si="57"/>
        <v>0.1575</v>
      </c>
      <c r="O348" s="287">
        <f t="shared" si="60"/>
        <v>11.46272061835546</v>
      </c>
      <c r="P348" s="288"/>
      <c r="Q348" s="288">
        <f t="shared" si="61"/>
        <v>2.5920000000000001</v>
      </c>
      <c r="R348" s="341">
        <f t="shared" si="64"/>
        <v>0</v>
      </c>
      <c r="S348" s="287"/>
      <c r="T348" s="287"/>
      <c r="U348" s="279">
        <f t="shared" si="58"/>
        <v>100.18557026323361</v>
      </c>
      <c r="V348" s="290"/>
      <c r="W348" s="290"/>
      <c r="X348" s="291">
        <v>1.80871</v>
      </c>
    </row>
    <row r="349" spans="1:24" ht="15.75">
      <c r="A349" s="283">
        <f t="shared" si="65"/>
        <v>330</v>
      </c>
      <c r="B349" s="305" t="s">
        <v>386</v>
      </c>
      <c r="C349" s="299">
        <v>1</v>
      </c>
      <c r="D349" s="293"/>
      <c r="E349" s="287">
        <f t="shared" si="62"/>
        <v>44.476254074911566</v>
      </c>
      <c r="F349" s="280">
        <f t="shared" si="56"/>
        <v>17.054621789816089</v>
      </c>
      <c r="G349" s="288"/>
      <c r="H349" s="288"/>
      <c r="I349" s="288"/>
      <c r="J349" s="288">
        <f>E349/C349*0.25</f>
        <v>11.119063518727891</v>
      </c>
      <c r="K349" s="288"/>
      <c r="L349" s="288">
        <f t="shared" si="63"/>
        <v>5.9355582710881984</v>
      </c>
      <c r="M349" s="288"/>
      <c r="N349" s="289">
        <f t="shared" si="57"/>
        <v>0.1875</v>
      </c>
      <c r="O349" s="287">
        <f t="shared" si="60"/>
        <v>8.3392976390459186</v>
      </c>
      <c r="P349" s="288"/>
      <c r="Q349" s="288">
        <f t="shared" si="61"/>
        <v>1.296</v>
      </c>
      <c r="R349" s="341">
        <f t="shared" si="64"/>
        <v>0</v>
      </c>
      <c r="S349" s="287"/>
      <c r="T349" s="287"/>
      <c r="U349" s="279">
        <f t="shared" si="58"/>
        <v>71.166173503773578</v>
      </c>
      <c r="V349" s="290"/>
      <c r="W349" s="290"/>
      <c r="X349" s="291">
        <v>2.2106499999999998</v>
      </c>
    </row>
    <row r="350" spans="1:24" ht="31.35" customHeight="1">
      <c r="A350" s="283">
        <f t="shared" si="65"/>
        <v>331</v>
      </c>
      <c r="B350" s="305" t="s">
        <v>387</v>
      </c>
      <c r="C350" s="299">
        <v>1</v>
      </c>
      <c r="D350" s="293"/>
      <c r="E350" s="287">
        <f t="shared" si="62"/>
        <v>48.372717163454809</v>
      </c>
      <c r="F350" s="280">
        <f>SUM(G350:M350)</f>
        <v>18.548738272313852</v>
      </c>
      <c r="G350" s="288"/>
      <c r="H350" s="288"/>
      <c r="I350" s="288"/>
      <c r="J350" s="288">
        <f>E350/C350*0.25</f>
        <v>12.093179290863702</v>
      </c>
      <c r="K350" s="288"/>
      <c r="L350" s="288">
        <f t="shared" si="63"/>
        <v>6.4555589814501504</v>
      </c>
      <c r="M350" s="288"/>
      <c r="N350" s="289">
        <f>O350/E350</f>
        <v>0.1875</v>
      </c>
      <c r="O350" s="287">
        <f t="shared" si="60"/>
        <v>9.0698844681477766</v>
      </c>
      <c r="P350" s="288"/>
      <c r="Q350" s="288">
        <f t="shared" si="61"/>
        <v>1.296</v>
      </c>
      <c r="R350" s="341">
        <f>SUM(S350:T350)</f>
        <v>0</v>
      </c>
      <c r="S350" s="287"/>
      <c r="T350" s="287"/>
      <c r="U350" s="279">
        <f>E350+F350+O350+P350+Q350+R350</f>
        <v>77.287339903916447</v>
      </c>
      <c r="V350" s="290"/>
      <c r="W350" s="290"/>
      <c r="X350" s="291">
        <v>2.4043199999999998</v>
      </c>
    </row>
    <row r="351" spans="1:24" ht="31.5">
      <c r="A351" s="283">
        <f t="shared" si="65"/>
        <v>332</v>
      </c>
      <c r="B351" s="305" t="s">
        <v>388</v>
      </c>
      <c r="C351" s="299">
        <v>1</v>
      </c>
      <c r="D351" s="293"/>
      <c r="E351" s="287">
        <f t="shared" si="62"/>
        <v>28.880543369350221</v>
      </c>
      <c r="F351" s="280">
        <f>SUM(G351:M351)</f>
        <v>11.074375630174476</v>
      </c>
      <c r="G351" s="288"/>
      <c r="H351" s="288"/>
      <c r="I351" s="288"/>
      <c r="J351" s="288">
        <f>E351/C351*0.25</f>
        <v>7.2201358423375552</v>
      </c>
      <c r="K351" s="288"/>
      <c r="L351" s="288">
        <f t="shared" si="63"/>
        <v>3.8542397878369203</v>
      </c>
      <c r="M351" s="288"/>
      <c r="N351" s="289">
        <f>O351/E351</f>
        <v>0.1875</v>
      </c>
      <c r="O351" s="287">
        <f t="shared" si="60"/>
        <v>5.4151018817531664</v>
      </c>
      <c r="P351" s="288"/>
      <c r="Q351" s="288">
        <f t="shared" si="61"/>
        <v>1.296</v>
      </c>
      <c r="R351" s="341">
        <f>SUM(S351:T351)</f>
        <v>0</v>
      </c>
      <c r="S351" s="287"/>
      <c r="T351" s="287"/>
      <c r="U351" s="279">
        <f>E351+F351+O351+P351+Q351+R351</f>
        <v>46.666020881277859</v>
      </c>
      <c r="V351" s="290"/>
      <c r="W351" s="290"/>
      <c r="X351" s="291">
        <v>1.4354800000000001</v>
      </c>
    </row>
    <row r="352" spans="1:24" ht="15.75">
      <c r="A352" s="283">
        <f t="shared" si="65"/>
        <v>333</v>
      </c>
      <c r="B352" s="305" t="s">
        <v>389</v>
      </c>
      <c r="C352" s="299">
        <v>1</v>
      </c>
      <c r="D352" s="293"/>
      <c r="E352" s="287">
        <f t="shared" si="62"/>
        <v>39.277683839724453</v>
      </c>
      <c r="F352" s="280">
        <f t="shared" si="56"/>
        <v>9.1695538273102173</v>
      </c>
      <c r="G352" s="288"/>
      <c r="H352" s="288"/>
      <c r="I352" s="288"/>
      <c r="J352" s="288">
        <f>E352/C352*0.1</f>
        <v>3.9277683839724453</v>
      </c>
      <c r="K352" s="288"/>
      <c r="L352" s="288">
        <f t="shared" si="63"/>
        <v>5.2417854433377729</v>
      </c>
      <c r="M352" s="288"/>
      <c r="N352" s="289">
        <f t="shared" si="57"/>
        <v>0.16499999999999998</v>
      </c>
      <c r="O352" s="287">
        <f t="shared" si="60"/>
        <v>6.4808178335545339</v>
      </c>
      <c r="P352" s="288"/>
      <c r="Q352" s="288">
        <f t="shared" si="61"/>
        <v>1.296</v>
      </c>
      <c r="R352" s="341">
        <f t="shared" si="64"/>
        <v>0</v>
      </c>
      <c r="S352" s="287"/>
      <c r="T352" s="287"/>
      <c r="U352" s="279">
        <f t="shared" si="58"/>
        <v>56.224055500589202</v>
      </c>
      <c r="V352" s="290"/>
      <c r="W352" s="290"/>
      <c r="X352" s="291">
        <v>1.9522600000000001</v>
      </c>
    </row>
    <row r="353" spans="1:24" ht="17.25" customHeight="1">
      <c r="A353" s="283">
        <f t="shared" si="65"/>
        <v>334</v>
      </c>
      <c r="B353" s="305" t="s">
        <v>390</v>
      </c>
      <c r="C353" s="299">
        <v>1</v>
      </c>
      <c r="D353" s="293"/>
      <c r="E353" s="287">
        <f t="shared" si="62"/>
        <v>41.588159499807624</v>
      </c>
      <c r="F353" s="280">
        <f t="shared" si="56"/>
        <v>9.7089448723187246</v>
      </c>
      <c r="G353" s="288"/>
      <c r="H353" s="288"/>
      <c r="I353" s="288"/>
      <c r="J353" s="288">
        <f>E353/C353*0.1</f>
        <v>4.1588159499807622</v>
      </c>
      <c r="K353" s="288"/>
      <c r="L353" s="288">
        <f t="shared" si="63"/>
        <v>5.5501289223379633</v>
      </c>
      <c r="M353" s="288"/>
      <c r="N353" s="289">
        <f t="shared" si="57"/>
        <v>0.16500000000000001</v>
      </c>
      <c r="O353" s="287">
        <f t="shared" si="60"/>
        <v>6.8620463174682582</v>
      </c>
      <c r="P353" s="288"/>
      <c r="Q353" s="288">
        <f t="shared" si="61"/>
        <v>1.296</v>
      </c>
      <c r="R353" s="341">
        <f t="shared" si="64"/>
        <v>0</v>
      </c>
      <c r="S353" s="287"/>
      <c r="T353" s="287"/>
      <c r="U353" s="279">
        <f t="shared" si="58"/>
        <v>59.455150689594603</v>
      </c>
      <c r="V353" s="290"/>
      <c r="W353" s="290"/>
      <c r="X353" s="291">
        <v>2.0670999999999999</v>
      </c>
    </row>
    <row r="354" spans="1:24" ht="15.75">
      <c r="A354" s="283">
        <f t="shared" si="65"/>
        <v>335</v>
      </c>
      <c r="B354" s="305" t="s">
        <v>391</v>
      </c>
      <c r="C354" s="299">
        <v>1</v>
      </c>
      <c r="D354" s="293"/>
      <c r="E354" s="287">
        <f t="shared" si="62"/>
        <v>41.588159499807624</v>
      </c>
      <c r="F354" s="280">
        <f t="shared" si="56"/>
        <v>5.5501289223379633</v>
      </c>
      <c r="G354" s="288"/>
      <c r="H354" s="288"/>
      <c r="I354" s="288"/>
      <c r="J354" s="288"/>
      <c r="K354" s="288"/>
      <c r="L354" s="288">
        <f t="shared" si="63"/>
        <v>5.5501289223379633</v>
      </c>
      <c r="M354" s="288"/>
      <c r="N354" s="289">
        <f t="shared" si="57"/>
        <v>0.15</v>
      </c>
      <c r="O354" s="287">
        <f t="shared" si="60"/>
        <v>6.2382239249711438</v>
      </c>
      <c r="P354" s="288"/>
      <c r="Q354" s="288">
        <f t="shared" si="61"/>
        <v>1.296</v>
      </c>
      <c r="R354" s="341">
        <f t="shared" si="64"/>
        <v>0</v>
      </c>
      <c r="S354" s="287"/>
      <c r="T354" s="287"/>
      <c r="U354" s="279">
        <f t="shared" si="58"/>
        <v>54.672512347116729</v>
      </c>
      <c r="V354" s="290"/>
      <c r="W354" s="290"/>
      <c r="X354" s="291">
        <v>2.0670999999999999</v>
      </c>
    </row>
    <row r="355" spans="1:24" ht="15.75">
      <c r="A355" s="283">
        <f t="shared" si="65"/>
        <v>336</v>
      </c>
      <c r="B355" s="305" t="s">
        <v>392</v>
      </c>
      <c r="C355" s="292">
        <v>0.5</v>
      </c>
      <c r="D355" s="293"/>
      <c r="E355" s="287">
        <f t="shared" si="62"/>
        <v>31.479929082366112</v>
      </c>
      <c r="F355" s="280">
        <f t="shared" si="56"/>
        <v>19.941104167811552</v>
      </c>
      <c r="G355" s="288"/>
      <c r="H355" s="288"/>
      <c r="I355" s="288"/>
      <c r="J355" s="288">
        <f>E355/C355*0.25</f>
        <v>15.739964541183056</v>
      </c>
      <c r="K355" s="288"/>
      <c r="L355" s="288">
        <f t="shared" si="63"/>
        <v>4.2011396266284962</v>
      </c>
      <c r="M355" s="288"/>
      <c r="N355" s="289">
        <f t="shared" si="57"/>
        <v>0.22499999999999998</v>
      </c>
      <c r="O355" s="287">
        <f t="shared" si="60"/>
        <v>7.0829840435323748</v>
      </c>
      <c r="P355" s="288"/>
      <c r="Q355" s="288">
        <f t="shared" si="61"/>
        <v>0.64800000000000002</v>
      </c>
      <c r="R355" s="341">
        <f t="shared" si="64"/>
        <v>0</v>
      </c>
      <c r="S355" s="287"/>
      <c r="T355" s="287"/>
      <c r="U355" s="279">
        <f t="shared" si="58"/>
        <v>59.152017293710045</v>
      </c>
      <c r="V355" s="290"/>
      <c r="W355" s="290"/>
      <c r="X355" s="291">
        <v>3.1293600000000001</v>
      </c>
    </row>
    <row r="356" spans="1:24" ht="31.35" customHeight="1">
      <c r="A356" s="283">
        <f t="shared" si="65"/>
        <v>337</v>
      </c>
      <c r="B356" s="305" t="s">
        <v>393</v>
      </c>
      <c r="C356" s="299">
        <v>1</v>
      </c>
      <c r="D356" s="293"/>
      <c r="E356" s="287">
        <f t="shared" si="62"/>
        <v>54.295574439420371</v>
      </c>
      <c r="F356" s="280">
        <f t="shared" si="56"/>
        <v>20.819884816861375</v>
      </c>
      <c r="G356" s="288"/>
      <c r="H356" s="288"/>
      <c r="I356" s="288"/>
      <c r="J356" s="288">
        <f>E356/C356*0.25</f>
        <v>13.573893609855093</v>
      </c>
      <c r="K356" s="288"/>
      <c r="L356" s="288">
        <f t="shared" si="63"/>
        <v>7.2459912070062824</v>
      </c>
      <c r="M356" s="288"/>
      <c r="N356" s="289">
        <f t="shared" si="57"/>
        <v>0.1875</v>
      </c>
      <c r="O356" s="287">
        <f t="shared" si="60"/>
        <v>10.18042020739132</v>
      </c>
      <c r="P356" s="288"/>
      <c r="Q356" s="288">
        <f t="shared" si="61"/>
        <v>1.296</v>
      </c>
      <c r="R356" s="341">
        <f t="shared" si="64"/>
        <v>0</v>
      </c>
      <c r="S356" s="287"/>
      <c r="T356" s="287"/>
      <c r="U356" s="279">
        <f t="shared" si="58"/>
        <v>86.591879463673081</v>
      </c>
      <c r="V356" s="290"/>
      <c r="W356" s="290"/>
      <c r="X356" s="291">
        <v>2.6987100000000002</v>
      </c>
    </row>
    <row r="357" spans="1:24" ht="31.5">
      <c r="A357" s="283">
        <f t="shared" si="65"/>
        <v>338</v>
      </c>
      <c r="B357" s="305" t="s">
        <v>394</v>
      </c>
      <c r="C357" s="299">
        <v>1</v>
      </c>
      <c r="D357" s="293"/>
      <c r="E357" s="287">
        <f t="shared" si="62"/>
        <v>54.295574439420371</v>
      </c>
      <c r="F357" s="280">
        <f t="shared" si="56"/>
        <v>7.2459912070062824</v>
      </c>
      <c r="G357" s="288"/>
      <c r="H357" s="288"/>
      <c r="I357" s="288"/>
      <c r="J357" s="288"/>
      <c r="K357" s="288"/>
      <c r="L357" s="288">
        <f t="shared" si="63"/>
        <v>7.2459912070062824</v>
      </c>
      <c r="M357" s="288"/>
      <c r="N357" s="289">
        <f t="shared" si="57"/>
        <v>0.15</v>
      </c>
      <c r="O357" s="287">
        <f t="shared" si="60"/>
        <v>8.1443361659130549</v>
      </c>
      <c r="P357" s="288"/>
      <c r="Q357" s="288">
        <f t="shared" si="61"/>
        <v>1.296</v>
      </c>
      <c r="R357" s="341">
        <f t="shared" si="64"/>
        <v>0</v>
      </c>
      <c r="S357" s="287"/>
      <c r="T357" s="287"/>
      <c r="U357" s="279">
        <f t="shared" si="58"/>
        <v>70.981901812339714</v>
      </c>
      <c r="V357" s="290"/>
      <c r="W357" s="290"/>
      <c r="X357" s="291">
        <v>2.6987100000000002</v>
      </c>
    </row>
    <row r="358" spans="1:24" ht="31.35" customHeight="1">
      <c r="A358" s="283">
        <f t="shared" si="65"/>
        <v>339</v>
      </c>
      <c r="B358" s="305" t="s">
        <v>395</v>
      </c>
      <c r="C358" s="299">
        <v>0.5</v>
      </c>
      <c r="D358" s="293"/>
      <c r="E358" s="287">
        <f t="shared" si="62"/>
        <v>14.44027168467511</v>
      </c>
      <c r="F358" s="280">
        <f t="shared" si="56"/>
        <v>1.9271198939184602</v>
      </c>
      <c r="G358" s="288"/>
      <c r="H358" s="288"/>
      <c r="I358" s="288"/>
      <c r="J358" s="288"/>
      <c r="K358" s="288"/>
      <c r="L358" s="288">
        <f t="shared" si="63"/>
        <v>1.9271198939184602</v>
      </c>
      <c r="M358" s="288"/>
      <c r="N358" s="289">
        <f t="shared" si="57"/>
        <v>0.15</v>
      </c>
      <c r="O358" s="287">
        <f t="shared" si="60"/>
        <v>2.1660407527012664</v>
      </c>
      <c r="P358" s="288"/>
      <c r="Q358" s="288">
        <f t="shared" si="61"/>
        <v>0.64800000000000002</v>
      </c>
      <c r="R358" s="341">
        <f t="shared" si="64"/>
        <v>0</v>
      </c>
      <c r="S358" s="287"/>
      <c r="T358" s="287"/>
      <c r="U358" s="279">
        <f t="shared" si="58"/>
        <v>19.181432331294836</v>
      </c>
      <c r="V358" s="290"/>
      <c r="W358" s="290"/>
      <c r="X358" s="291">
        <v>1.4354800000000001</v>
      </c>
    </row>
    <row r="359" spans="1:24" ht="15.75">
      <c r="A359" s="283">
        <f t="shared" si="65"/>
        <v>340</v>
      </c>
      <c r="B359" s="305" t="s">
        <v>396</v>
      </c>
      <c r="C359" s="299">
        <v>1.5</v>
      </c>
      <c r="D359" s="293"/>
      <c r="E359" s="287">
        <f t="shared" si="62"/>
        <v>43.320815054025331</v>
      </c>
      <c r="F359" s="280">
        <f t="shared" si="56"/>
        <v>5.7813596817553803</v>
      </c>
      <c r="G359" s="288"/>
      <c r="H359" s="288"/>
      <c r="I359" s="288"/>
      <c r="J359" s="288"/>
      <c r="K359" s="288"/>
      <c r="L359" s="288">
        <f t="shared" si="63"/>
        <v>5.7813596817553803</v>
      </c>
      <c r="M359" s="288"/>
      <c r="N359" s="289">
        <f t="shared" si="57"/>
        <v>0.15</v>
      </c>
      <c r="O359" s="287">
        <f t="shared" si="60"/>
        <v>6.4981222581037992</v>
      </c>
      <c r="P359" s="288"/>
      <c r="Q359" s="288">
        <f t="shared" si="61"/>
        <v>1.944</v>
      </c>
      <c r="R359" s="341">
        <f t="shared" si="64"/>
        <v>0</v>
      </c>
      <c r="S359" s="287"/>
      <c r="T359" s="287"/>
      <c r="U359" s="279">
        <f t="shared" si="58"/>
        <v>57.544296993884515</v>
      </c>
      <c r="V359" s="290"/>
      <c r="W359" s="290"/>
      <c r="X359" s="291">
        <v>1.4354800000000001</v>
      </c>
    </row>
    <row r="360" spans="1:24" ht="15.75">
      <c r="A360" s="283">
        <f t="shared" si="65"/>
        <v>341</v>
      </c>
      <c r="B360" s="305" t="s">
        <v>397</v>
      </c>
      <c r="C360" s="299">
        <v>1</v>
      </c>
      <c r="D360" s="293"/>
      <c r="E360" s="287">
        <f t="shared" si="62"/>
        <v>28.880543369350221</v>
      </c>
      <c r="F360" s="280">
        <f t="shared" ref="F360:F395" si="66">SUM(G360:M360)</f>
        <v>3.8542397878369203</v>
      </c>
      <c r="G360" s="288"/>
      <c r="H360" s="288"/>
      <c r="I360" s="288"/>
      <c r="J360" s="288"/>
      <c r="K360" s="288"/>
      <c r="L360" s="288">
        <f t="shared" si="63"/>
        <v>3.8542397878369203</v>
      </c>
      <c r="M360" s="288"/>
      <c r="N360" s="289">
        <f t="shared" ref="N360:N395" si="67">O360/E360</f>
        <v>0.15</v>
      </c>
      <c r="O360" s="287">
        <f t="shared" si="60"/>
        <v>4.3320815054025328</v>
      </c>
      <c r="P360" s="288"/>
      <c r="Q360" s="288">
        <f t="shared" si="61"/>
        <v>1.296</v>
      </c>
      <c r="R360" s="341">
        <f t="shared" si="64"/>
        <v>0</v>
      </c>
      <c r="S360" s="287"/>
      <c r="T360" s="287"/>
      <c r="U360" s="279">
        <f t="shared" ref="U360:U395" si="68">E360+F360+O360+P360+Q360+R360</f>
        <v>38.362864662589672</v>
      </c>
      <c r="V360" s="290"/>
      <c r="W360" s="290"/>
      <c r="X360" s="291">
        <v>1.4354800000000001</v>
      </c>
    </row>
    <row r="361" spans="1:24" ht="15.75">
      <c r="A361" s="283">
        <f t="shared" si="65"/>
        <v>342</v>
      </c>
      <c r="B361" s="305" t="s">
        <v>398</v>
      </c>
      <c r="C361" s="299">
        <v>3</v>
      </c>
      <c r="D361" s="293"/>
      <c r="E361" s="287">
        <f t="shared" si="62"/>
        <v>155.9546927654776</v>
      </c>
      <c r="F361" s="280">
        <f t="shared" si="66"/>
        <v>20.812862634520101</v>
      </c>
      <c r="G361" s="288"/>
      <c r="H361" s="288"/>
      <c r="I361" s="288"/>
      <c r="J361" s="288"/>
      <c r="K361" s="288"/>
      <c r="L361" s="288">
        <f t="shared" si="63"/>
        <v>20.812862634520101</v>
      </c>
      <c r="M361" s="288"/>
      <c r="N361" s="289">
        <f t="shared" si="67"/>
        <v>0.2</v>
      </c>
      <c r="O361" s="287">
        <f>(E361+G361+H361+I361+J361)*0.2</f>
        <v>31.190938553095521</v>
      </c>
      <c r="P361" s="288"/>
      <c r="Q361" s="288">
        <f t="shared" si="61"/>
        <v>3.8879999999999999</v>
      </c>
      <c r="R361" s="341">
        <f t="shared" si="64"/>
        <v>0</v>
      </c>
      <c r="S361" s="287"/>
      <c r="T361" s="287"/>
      <c r="U361" s="279">
        <f t="shared" si="68"/>
        <v>211.84649395309324</v>
      </c>
      <c r="V361" s="290"/>
      <c r="W361" s="290"/>
      <c r="X361" s="291">
        <v>2.58386</v>
      </c>
    </row>
    <row r="362" spans="1:24" ht="31.5">
      <c r="A362" s="283">
        <f t="shared" si="65"/>
        <v>343</v>
      </c>
      <c r="B362" s="305" t="s">
        <v>399</v>
      </c>
      <c r="C362" s="299">
        <v>1</v>
      </c>
      <c r="D362" s="293"/>
      <c r="E362" s="287">
        <f t="shared" si="62"/>
        <v>51.98489758849253</v>
      </c>
      <c r="F362" s="280">
        <f t="shared" si="66"/>
        <v>6.9376208781733659</v>
      </c>
      <c r="G362" s="288"/>
      <c r="H362" s="288"/>
      <c r="I362" s="288"/>
      <c r="J362" s="288"/>
      <c r="K362" s="288"/>
      <c r="L362" s="288">
        <f t="shared" si="63"/>
        <v>6.9376208781733659</v>
      </c>
      <c r="M362" s="288"/>
      <c r="N362" s="289">
        <f t="shared" si="67"/>
        <v>0.2</v>
      </c>
      <c r="O362" s="287">
        <f>(E362+G362+H362+I362+J362)*0.2</f>
        <v>10.396979517698506</v>
      </c>
      <c r="P362" s="288"/>
      <c r="Q362" s="288">
        <f t="shared" si="61"/>
        <v>1.296</v>
      </c>
      <c r="R362" s="341">
        <f t="shared" si="64"/>
        <v>0</v>
      </c>
      <c r="S362" s="287"/>
      <c r="T362" s="287"/>
      <c r="U362" s="279">
        <f t="shared" si="68"/>
        <v>70.61549798436441</v>
      </c>
      <c r="V362" s="290"/>
      <c r="W362" s="290"/>
      <c r="X362" s="291">
        <v>2.58386</v>
      </c>
    </row>
    <row r="363" spans="1:24" ht="31.35" customHeight="1">
      <c r="A363" s="283">
        <f t="shared" si="65"/>
        <v>344</v>
      </c>
      <c r="B363" s="305" t="s">
        <v>400</v>
      </c>
      <c r="C363" s="299">
        <v>4</v>
      </c>
      <c r="D363" s="293"/>
      <c r="E363" s="287">
        <f t="shared" si="62"/>
        <v>177.90421153626767</v>
      </c>
      <c r="F363" s="280">
        <f t="shared" si="66"/>
        <v>23.742125685021904</v>
      </c>
      <c r="G363" s="288"/>
      <c r="H363" s="288"/>
      <c r="I363" s="288"/>
      <c r="J363" s="288"/>
      <c r="K363" s="288"/>
      <c r="L363" s="288">
        <f t="shared" si="63"/>
        <v>23.742125685021904</v>
      </c>
      <c r="M363" s="288"/>
      <c r="N363" s="289">
        <f t="shared" si="67"/>
        <v>0.2</v>
      </c>
      <c r="O363" s="287">
        <f>(E363+G363+H363+I363+J363)*0.2</f>
        <v>35.580842307253533</v>
      </c>
      <c r="P363" s="288"/>
      <c r="Q363" s="288">
        <f t="shared" si="61"/>
        <v>5.1840000000000002</v>
      </c>
      <c r="R363" s="341">
        <f t="shared" si="64"/>
        <v>0</v>
      </c>
      <c r="S363" s="287"/>
      <c r="T363" s="287"/>
      <c r="U363" s="279">
        <f t="shared" si="68"/>
        <v>242.4111795285431</v>
      </c>
      <c r="V363" s="290"/>
      <c r="W363" s="290"/>
      <c r="X363" s="291">
        <v>2.2106400000000002</v>
      </c>
    </row>
    <row r="364" spans="1:24" ht="31.35" customHeight="1">
      <c r="A364" s="283">
        <f t="shared" si="65"/>
        <v>345</v>
      </c>
      <c r="B364" s="305" t="s">
        <v>401</v>
      </c>
      <c r="C364" s="292">
        <v>1</v>
      </c>
      <c r="D364" s="293"/>
      <c r="E364" s="287">
        <f t="shared" si="62"/>
        <v>51.98489758849253</v>
      </c>
      <c r="F364" s="280">
        <f t="shared" si="66"/>
        <v>6.9376208781733659</v>
      </c>
      <c r="G364" s="288"/>
      <c r="H364" s="288"/>
      <c r="I364" s="288"/>
      <c r="J364" s="288"/>
      <c r="K364" s="288"/>
      <c r="L364" s="288">
        <f t="shared" si="63"/>
        <v>6.9376208781733659</v>
      </c>
      <c r="M364" s="288"/>
      <c r="N364" s="289">
        <f t="shared" si="67"/>
        <v>0.2</v>
      </c>
      <c r="O364" s="287">
        <f>(E364+G364+H364+I364+J364)*0.2</f>
        <v>10.396979517698506</v>
      </c>
      <c r="P364" s="288"/>
      <c r="Q364" s="288">
        <f t="shared" si="61"/>
        <v>1.296</v>
      </c>
      <c r="R364" s="341">
        <f t="shared" si="64"/>
        <v>0</v>
      </c>
      <c r="S364" s="287"/>
      <c r="T364" s="287"/>
      <c r="U364" s="279">
        <f t="shared" si="68"/>
        <v>70.61549798436441</v>
      </c>
      <c r="V364" s="290"/>
      <c r="W364" s="290"/>
      <c r="X364" s="291">
        <v>2.58386</v>
      </c>
    </row>
    <row r="365" spans="1:24" ht="31.35" customHeight="1">
      <c r="A365" s="283">
        <f t="shared" si="65"/>
        <v>346</v>
      </c>
      <c r="B365" s="305" t="s">
        <v>402</v>
      </c>
      <c r="C365" s="299">
        <v>0</v>
      </c>
      <c r="D365" s="293"/>
      <c r="E365" s="287">
        <f t="shared" si="62"/>
        <v>0</v>
      </c>
      <c r="F365" s="280">
        <f t="shared" si="66"/>
        <v>0</v>
      </c>
      <c r="G365" s="288"/>
      <c r="H365" s="288"/>
      <c r="I365" s="288"/>
      <c r="J365" s="288"/>
      <c r="K365" s="288"/>
      <c r="L365" s="288">
        <f t="shared" si="63"/>
        <v>0</v>
      </c>
      <c r="M365" s="288"/>
      <c r="N365" s="289" t="e">
        <f t="shared" si="67"/>
        <v>#DIV/0!</v>
      </c>
      <c r="O365" s="287">
        <f>(E365+G365+H365+I365+J365)*0.2</f>
        <v>0</v>
      </c>
      <c r="P365" s="288"/>
      <c r="Q365" s="288">
        <f t="shared" si="61"/>
        <v>0</v>
      </c>
      <c r="R365" s="341">
        <f t="shared" si="64"/>
        <v>0</v>
      </c>
      <c r="S365" s="287"/>
      <c r="T365" s="287"/>
      <c r="U365" s="279">
        <f t="shared" si="68"/>
        <v>0</v>
      </c>
      <c r="V365" s="290"/>
      <c r="W365" s="290"/>
      <c r="X365" s="291">
        <v>2.2106400000000002</v>
      </c>
    </row>
    <row r="366" spans="1:24" ht="17.25" customHeight="1">
      <c r="A366" s="283">
        <f t="shared" si="65"/>
        <v>347</v>
      </c>
      <c r="B366" s="306" t="s">
        <v>403</v>
      </c>
      <c r="C366" s="299">
        <v>0.5</v>
      </c>
      <c r="D366" s="293"/>
      <c r="E366" s="287">
        <f t="shared" si="62"/>
        <v>19.494386893395863</v>
      </c>
      <c r="F366" s="280">
        <f t="shared" si="66"/>
        <v>2.6016145417731935</v>
      </c>
      <c r="G366" s="288"/>
      <c r="H366" s="288"/>
      <c r="I366" s="288"/>
      <c r="J366" s="288"/>
      <c r="K366" s="288"/>
      <c r="L366" s="288">
        <f t="shared" si="63"/>
        <v>2.6016145417731935</v>
      </c>
      <c r="M366" s="288"/>
      <c r="N366" s="289">
        <f t="shared" si="67"/>
        <v>0.15</v>
      </c>
      <c r="O366" s="287">
        <f t="shared" si="60"/>
        <v>2.9241580340093791</v>
      </c>
      <c r="P366" s="288"/>
      <c r="Q366" s="288">
        <f t="shared" si="61"/>
        <v>0.64800000000000002</v>
      </c>
      <c r="R366" s="341">
        <f t="shared" si="64"/>
        <v>0</v>
      </c>
      <c r="S366" s="287"/>
      <c r="T366" s="287"/>
      <c r="U366" s="279">
        <f t="shared" si="68"/>
        <v>25.668159469178438</v>
      </c>
      <c r="V366" s="290"/>
      <c r="W366" s="290"/>
      <c r="X366" s="291">
        <v>1.9379</v>
      </c>
    </row>
    <row r="367" spans="1:24" ht="17.25" customHeight="1">
      <c r="A367" s="283">
        <f t="shared" si="65"/>
        <v>348</v>
      </c>
      <c r="B367" s="306" t="s">
        <v>404</v>
      </c>
      <c r="C367" s="299">
        <v>0.5</v>
      </c>
      <c r="D367" s="293"/>
      <c r="E367" s="287">
        <f t="shared" si="62"/>
        <v>17.328366259779063</v>
      </c>
      <c r="F367" s="280">
        <f t="shared" si="66"/>
        <v>2.3125492426686964</v>
      </c>
      <c r="G367" s="288"/>
      <c r="H367" s="288"/>
      <c r="I367" s="288"/>
      <c r="J367" s="288"/>
      <c r="K367" s="288"/>
      <c r="L367" s="288">
        <f t="shared" si="63"/>
        <v>2.3125492426686964</v>
      </c>
      <c r="M367" s="288"/>
      <c r="N367" s="289">
        <f t="shared" si="67"/>
        <v>0.15</v>
      </c>
      <c r="O367" s="287">
        <f t="shared" si="60"/>
        <v>2.5992549389668596</v>
      </c>
      <c r="P367" s="288"/>
      <c r="Q367" s="288">
        <f t="shared" si="61"/>
        <v>0.64800000000000002</v>
      </c>
      <c r="R367" s="341">
        <f t="shared" si="64"/>
        <v>0</v>
      </c>
      <c r="S367" s="287"/>
      <c r="T367" s="287"/>
      <c r="U367" s="279">
        <f t="shared" si="68"/>
        <v>22.888170441414619</v>
      </c>
      <c r="V367" s="290"/>
      <c r="W367" s="290"/>
      <c r="X367" s="291">
        <v>1.72258</v>
      </c>
    </row>
    <row r="368" spans="1:24" ht="15.75">
      <c r="A368" s="283">
        <f t="shared" si="65"/>
        <v>349</v>
      </c>
      <c r="B368" s="305" t="s">
        <v>405</v>
      </c>
      <c r="C368" s="299">
        <v>1</v>
      </c>
      <c r="D368" s="293"/>
      <c r="E368" s="287">
        <f t="shared" si="62"/>
        <v>44.476052884066917</v>
      </c>
      <c r="F368" s="280">
        <f t="shared" si="66"/>
        <v>5.9355314212554759</v>
      </c>
      <c r="G368" s="288"/>
      <c r="H368" s="288"/>
      <c r="I368" s="288"/>
      <c r="J368" s="288"/>
      <c r="K368" s="288"/>
      <c r="L368" s="288">
        <f t="shared" si="63"/>
        <v>5.9355314212554759</v>
      </c>
      <c r="M368" s="288"/>
      <c r="N368" s="289">
        <f t="shared" si="67"/>
        <v>0.15</v>
      </c>
      <c r="O368" s="287">
        <f t="shared" si="60"/>
        <v>6.6714079326100375</v>
      </c>
      <c r="P368" s="288"/>
      <c r="Q368" s="288">
        <f t="shared" si="61"/>
        <v>1.296</v>
      </c>
      <c r="R368" s="341">
        <f t="shared" si="64"/>
        <v>0</v>
      </c>
      <c r="S368" s="287"/>
      <c r="T368" s="287"/>
      <c r="U368" s="279">
        <f t="shared" si="68"/>
        <v>58.37899223793243</v>
      </c>
      <c r="V368" s="290"/>
      <c r="W368" s="290"/>
      <c r="X368" s="291">
        <v>2.2106400000000002</v>
      </c>
    </row>
    <row r="369" spans="1:24" ht="31.35" customHeight="1">
      <c r="A369" s="283">
        <f t="shared" si="65"/>
        <v>350</v>
      </c>
      <c r="B369" s="305" t="s">
        <v>406</v>
      </c>
      <c r="C369" s="299">
        <v>1</v>
      </c>
      <c r="D369" s="293"/>
      <c r="E369" s="287">
        <f t="shared" si="62"/>
        <v>38.988773786791725</v>
      </c>
      <c r="F369" s="280">
        <f t="shared" si="66"/>
        <v>5.203229083546387</v>
      </c>
      <c r="G369" s="288"/>
      <c r="H369" s="288"/>
      <c r="I369" s="288"/>
      <c r="J369" s="288"/>
      <c r="K369" s="288"/>
      <c r="L369" s="288">
        <f t="shared" si="63"/>
        <v>5.203229083546387</v>
      </c>
      <c r="M369" s="288"/>
      <c r="N369" s="289">
        <f t="shared" si="67"/>
        <v>0.15</v>
      </c>
      <c r="O369" s="287">
        <f t="shared" si="60"/>
        <v>5.8483160680187583</v>
      </c>
      <c r="P369" s="288"/>
      <c r="Q369" s="288">
        <f t="shared" si="61"/>
        <v>1.296</v>
      </c>
      <c r="R369" s="341">
        <f t="shared" si="64"/>
        <v>0</v>
      </c>
      <c r="S369" s="287"/>
      <c r="T369" s="287"/>
      <c r="U369" s="279">
        <f t="shared" si="68"/>
        <v>51.336318938356875</v>
      </c>
      <c r="V369" s="290"/>
      <c r="W369" s="290"/>
      <c r="X369" s="291">
        <v>1.9379</v>
      </c>
    </row>
    <row r="370" spans="1:24" ht="31.5">
      <c r="A370" s="283">
        <f t="shared" si="65"/>
        <v>351</v>
      </c>
      <c r="B370" s="305" t="s">
        <v>407</v>
      </c>
      <c r="C370" s="299">
        <v>0.5</v>
      </c>
      <c r="D370" s="293"/>
      <c r="E370" s="287">
        <f t="shared" si="62"/>
        <v>19.494386893395863</v>
      </c>
      <c r="F370" s="280">
        <f t="shared" si="66"/>
        <v>4.9409409689806969</v>
      </c>
      <c r="G370" s="288"/>
      <c r="H370" s="288"/>
      <c r="I370" s="288">
        <f>E370*0.12</f>
        <v>2.3393264272075034</v>
      </c>
      <c r="J370" s="288"/>
      <c r="K370" s="288"/>
      <c r="L370" s="288">
        <f t="shared" si="63"/>
        <v>2.6016145417731935</v>
      </c>
      <c r="M370" s="288"/>
      <c r="N370" s="289">
        <f t="shared" si="67"/>
        <v>0.16799999999999998</v>
      </c>
      <c r="O370" s="287">
        <f t="shared" si="60"/>
        <v>3.2750569980905047</v>
      </c>
      <c r="P370" s="288"/>
      <c r="Q370" s="288">
        <f t="shared" si="61"/>
        <v>0.64800000000000002</v>
      </c>
      <c r="R370" s="341">
        <f t="shared" si="64"/>
        <v>0</v>
      </c>
      <c r="S370" s="287"/>
      <c r="T370" s="287"/>
      <c r="U370" s="279">
        <f t="shared" si="68"/>
        <v>28.358384860467066</v>
      </c>
      <c r="V370" s="290"/>
      <c r="W370" s="290"/>
      <c r="X370" s="291">
        <v>1.9379</v>
      </c>
    </row>
    <row r="371" spans="1:24" ht="15.75">
      <c r="A371" s="283">
        <f t="shared" si="65"/>
        <v>352</v>
      </c>
      <c r="B371" s="305" t="s">
        <v>408</v>
      </c>
      <c r="C371" s="299">
        <v>0.5</v>
      </c>
      <c r="D371" s="293"/>
      <c r="E371" s="287">
        <f t="shared" si="62"/>
        <v>17.360757985769432</v>
      </c>
      <c r="F371" s="280">
        <f t="shared" si="66"/>
        <v>2.3168720657372295</v>
      </c>
      <c r="G371" s="288"/>
      <c r="H371" s="288"/>
      <c r="I371" s="288"/>
      <c r="J371" s="288"/>
      <c r="K371" s="288"/>
      <c r="L371" s="288">
        <f t="shared" si="63"/>
        <v>2.3168720657372295</v>
      </c>
      <c r="M371" s="288"/>
      <c r="N371" s="289">
        <f t="shared" si="67"/>
        <v>0.15</v>
      </c>
      <c r="O371" s="287">
        <f t="shared" si="60"/>
        <v>2.6041136978654147</v>
      </c>
      <c r="P371" s="288"/>
      <c r="Q371" s="288">
        <f t="shared" si="61"/>
        <v>0.64800000000000002</v>
      </c>
      <c r="R371" s="341">
        <f t="shared" si="64"/>
        <v>0</v>
      </c>
      <c r="S371" s="287"/>
      <c r="T371" s="287"/>
      <c r="U371" s="279">
        <f t="shared" si="68"/>
        <v>22.929743749372076</v>
      </c>
      <c r="V371" s="290"/>
      <c r="W371" s="290"/>
      <c r="X371" s="291">
        <v>1.7258</v>
      </c>
    </row>
    <row r="372" spans="1:24" ht="15.75">
      <c r="A372" s="283">
        <f t="shared" si="65"/>
        <v>353</v>
      </c>
      <c r="B372" s="305" t="s">
        <v>1388</v>
      </c>
      <c r="C372" s="299">
        <v>1</v>
      </c>
      <c r="D372" s="293"/>
      <c r="E372" s="287">
        <f t="shared" si="62"/>
        <v>51.98489758849253</v>
      </c>
      <c r="F372" s="280">
        <f t="shared" si="66"/>
        <v>13.175808588792469</v>
      </c>
      <c r="G372" s="288"/>
      <c r="H372" s="288"/>
      <c r="I372" s="288">
        <f>E372*0.12</f>
        <v>6.238187710619103</v>
      </c>
      <c r="J372" s="288"/>
      <c r="K372" s="288"/>
      <c r="L372" s="288">
        <f t="shared" si="63"/>
        <v>6.9376208781733659</v>
      </c>
      <c r="M372" s="288"/>
      <c r="N372" s="289">
        <f t="shared" si="67"/>
        <v>0.16799999999999998</v>
      </c>
      <c r="O372" s="287">
        <f t="shared" si="60"/>
        <v>8.7334627948667443</v>
      </c>
      <c r="P372" s="288"/>
      <c r="Q372" s="288">
        <f t="shared" si="61"/>
        <v>1.296</v>
      </c>
      <c r="R372" s="341">
        <f t="shared" si="64"/>
        <v>0</v>
      </c>
      <c r="S372" s="287"/>
      <c r="T372" s="287"/>
      <c r="U372" s="279">
        <f t="shared" si="68"/>
        <v>75.190168972151739</v>
      </c>
      <c r="V372" s="290"/>
      <c r="W372" s="290"/>
      <c r="X372" s="291">
        <v>2.58386</v>
      </c>
    </row>
    <row r="373" spans="1:24" ht="15.75">
      <c r="A373" s="283">
        <f t="shared" si="65"/>
        <v>354</v>
      </c>
      <c r="B373" s="305" t="s">
        <v>409</v>
      </c>
      <c r="C373" s="299">
        <v>2</v>
      </c>
      <c r="D373" s="293"/>
      <c r="E373" s="287">
        <f t="shared" si="62"/>
        <v>88.952105768133833</v>
      </c>
      <c r="F373" s="280">
        <f t="shared" si="66"/>
        <v>22.545315534687013</v>
      </c>
      <c r="G373" s="288"/>
      <c r="H373" s="288"/>
      <c r="I373" s="288">
        <f>E373*0.12</f>
        <v>10.67425269217606</v>
      </c>
      <c r="J373" s="288"/>
      <c r="K373" s="288"/>
      <c r="L373" s="288">
        <f t="shared" si="63"/>
        <v>11.871062842510952</v>
      </c>
      <c r="M373" s="288"/>
      <c r="N373" s="289">
        <f t="shared" si="67"/>
        <v>0.16799999999999998</v>
      </c>
      <c r="O373" s="287">
        <f t="shared" si="60"/>
        <v>14.943953769046482</v>
      </c>
      <c r="P373" s="288"/>
      <c r="Q373" s="288">
        <f t="shared" si="61"/>
        <v>2.5920000000000001</v>
      </c>
      <c r="R373" s="341">
        <f t="shared" si="64"/>
        <v>0</v>
      </c>
      <c r="S373" s="287"/>
      <c r="T373" s="287"/>
      <c r="U373" s="279">
        <f t="shared" si="68"/>
        <v>129.03337507186734</v>
      </c>
      <c r="V373" s="290"/>
      <c r="W373" s="290"/>
      <c r="X373" s="291">
        <v>2.2106400000000002</v>
      </c>
    </row>
    <row r="374" spans="1:24" ht="15.75">
      <c r="A374" s="283">
        <f t="shared" si="65"/>
        <v>355</v>
      </c>
      <c r="B374" s="305" t="s">
        <v>410</v>
      </c>
      <c r="C374" s="299">
        <v>1</v>
      </c>
      <c r="D374" s="293"/>
      <c r="E374" s="287">
        <f t="shared" si="62"/>
        <v>38.988773786791725</v>
      </c>
      <c r="F374" s="280">
        <f t="shared" si="66"/>
        <v>9.8818819379613938</v>
      </c>
      <c r="G374" s="288"/>
      <c r="H374" s="288"/>
      <c r="I374" s="288">
        <f>E374*0.12</f>
        <v>4.6786528544150068</v>
      </c>
      <c r="J374" s="288"/>
      <c r="K374" s="288"/>
      <c r="L374" s="288">
        <f t="shared" si="63"/>
        <v>5.203229083546387</v>
      </c>
      <c r="M374" s="288"/>
      <c r="N374" s="289">
        <f t="shared" si="67"/>
        <v>0.16799999999999998</v>
      </c>
      <c r="O374" s="287">
        <f t="shared" si="60"/>
        <v>6.5501139961810093</v>
      </c>
      <c r="P374" s="288"/>
      <c r="Q374" s="288">
        <f t="shared" si="61"/>
        <v>1.296</v>
      </c>
      <c r="R374" s="341">
        <f t="shared" si="64"/>
        <v>0</v>
      </c>
      <c r="S374" s="287"/>
      <c r="T374" s="287"/>
      <c r="U374" s="279">
        <f t="shared" si="68"/>
        <v>56.716769720934131</v>
      </c>
      <c r="V374" s="290"/>
      <c r="W374" s="290"/>
      <c r="X374" s="291">
        <v>1.9379</v>
      </c>
    </row>
    <row r="375" spans="1:24" ht="15.75">
      <c r="A375" s="283">
        <f t="shared" si="65"/>
        <v>356</v>
      </c>
      <c r="B375" s="305" t="s">
        <v>411</v>
      </c>
      <c r="C375" s="299">
        <v>1</v>
      </c>
      <c r="D375" s="293"/>
      <c r="E375" s="287">
        <f t="shared" si="62"/>
        <v>44.476052884066917</v>
      </c>
      <c r="F375" s="280">
        <f t="shared" si="66"/>
        <v>5.9355314212554759</v>
      </c>
      <c r="G375" s="288"/>
      <c r="H375" s="288"/>
      <c r="I375" s="288"/>
      <c r="J375" s="288"/>
      <c r="K375" s="288"/>
      <c r="L375" s="288">
        <f t="shared" si="63"/>
        <v>5.9355314212554759</v>
      </c>
      <c r="M375" s="288"/>
      <c r="N375" s="289">
        <f t="shared" si="67"/>
        <v>0.15</v>
      </c>
      <c r="O375" s="287">
        <f t="shared" si="60"/>
        <v>6.6714079326100375</v>
      </c>
      <c r="P375" s="288"/>
      <c r="Q375" s="288">
        <f t="shared" si="61"/>
        <v>1.296</v>
      </c>
      <c r="R375" s="341">
        <f t="shared" ref="R375:R395" si="69">SUM(S375:T375)</f>
        <v>0</v>
      </c>
      <c r="S375" s="287"/>
      <c r="T375" s="287"/>
      <c r="U375" s="279">
        <f t="shared" si="68"/>
        <v>58.37899223793243</v>
      </c>
      <c r="V375" s="290"/>
      <c r="W375" s="290"/>
      <c r="X375" s="291">
        <v>2.2106400000000002</v>
      </c>
    </row>
    <row r="376" spans="1:24" ht="15.75">
      <c r="A376" s="283">
        <f t="shared" si="65"/>
        <v>357</v>
      </c>
      <c r="B376" s="305" t="s">
        <v>412</v>
      </c>
      <c r="C376" s="299">
        <v>0</v>
      </c>
      <c r="D376" s="293"/>
      <c r="E376" s="287">
        <f t="shared" si="62"/>
        <v>0</v>
      </c>
      <c r="F376" s="280">
        <f t="shared" si="66"/>
        <v>0</v>
      </c>
      <c r="G376" s="288"/>
      <c r="H376" s="288"/>
      <c r="I376" s="288">
        <f>E376*0.08</f>
        <v>0</v>
      </c>
      <c r="J376" s="288"/>
      <c r="K376" s="288"/>
      <c r="L376" s="288">
        <f t="shared" si="63"/>
        <v>0</v>
      </c>
      <c r="M376" s="288"/>
      <c r="N376" s="289" t="e">
        <f t="shared" si="67"/>
        <v>#DIV/0!</v>
      </c>
      <c r="O376" s="287">
        <f t="shared" si="60"/>
        <v>0</v>
      </c>
      <c r="P376" s="288"/>
      <c r="Q376" s="288">
        <f t="shared" si="61"/>
        <v>0</v>
      </c>
      <c r="R376" s="341">
        <f t="shared" si="69"/>
        <v>0</v>
      </c>
      <c r="S376" s="287"/>
      <c r="T376" s="287"/>
      <c r="U376" s="279">
        <f t="shared" si="68"/>
        <v>0</v>
      </c>
      <c r="V376" s="290"/>
      <c r="W376" s="290"/>
      <c r="X376" s="291">
        <v>2.2106400000000002</v>
      </c>
    </row>
    <row r="377" spans="1:24" ht="17.25" customHeight="1">
      <c r="A377" s="283">
        <f t="shared" si="65"/>
        <v>358</v>
      </c>
      <c r="B377" s="305" t="s">
        <v>66</v>
      </c>
      <c r="C377" s="299">
        <v>1</v>
      </c>
      <c r="D377" s="293"/>
      <c r="E377" s="287">
        <f t="shared" si="62"/>
        <v>49.813243611225232</v>
      </c>
      <c r="F377" s="280">
        <f t="shared" si="66"/>
        <v>6.6478037837526038</v>
      </c>
      <c r="G377" s="288"/>
      <c r="H377" s="288"/>
      <c r="I377" s="288"/>
      <c r="J377" s="288"/>
      <c r="K377" s="288"/>
      <c r="L377" s="288">
        <f t="shared" si="63"/>
        <v>6.6478037837526038</v>
      </c>
      <c r="M377" s="288"/>
      <c r="N377" s="289">
        <f t="shared" si="67"/>
        <v>0.15</v>
      </c>
      <c r="O377" s="287">
        <f t="shared" si="60"/>
        <v>7.4719865416837843</v>
      </c>
      <c r="P377" s="288"/>
      <c r="Q377" s="288">
        <f t="shared" si="61"/>
        <v>1.296</v>
      </c>
      <c r="R377" s="341">
        <f t="shared" si="69"/>
        <v>0</v>
      </c>
      <c r="S377" s="287"/>
      <c r="T377" s="287"/>
      <c r="U377" s="279">
        <f t="shared" si="68"/>
        <v>65.229033936661622</v>
      </c>
      <c r="V377" s="290"/>
      <c r="W377" s="290"/>
      <c r="X377" s="291">
        <v>2.4759199999999999</v>
      </c>
    </row>
    <row r="378" spans="1:24" ht="15.75">
      <c r="A378" s="283">
        <f t="shared" si="65"/>
        <v>359</v>
      </c>
      <c r="B378" s="305" t="s">
        <v>1390</v>
      </c>
      <c r="C378" s="299">
        <v>1</v>
      </c>
      <c r="D378" s="293"/>
      <c r="E378" s="287">
        <f t="shared" si="62"/>
        <v>31.191019029433377</v>
      </c>
      <c r="F378" s="280">
        <f t="shared" si="66"/>
        <v>4.1625832668371086</v>
      </c>
      <c r="G378" s="288"/>
      <c r="H378" s="288"/>
      <c r="I378" s="288"/>
      <c r="J378" s="288"/>
      <c r="K378" s="288"/>
      <c r="L378" s="288">
        <f t="shared" si="63"/>
        <v>4.1625832668371086</v>
      </c>
      <c r="M378" s="288"/>
      <c r="N378" s="289">
        <f t="shared" si="67"/>
        <v>0.15</v>
      </c>
      <c r="O378" s="287">
        <f t="shared" si="60"/>
        <v>4.6786528544150068</v>
      </c>
      <c r="P378" s="288"/>
      <c r="Q378" s="288">
        <f t="shared" si="61"/>
        <v>1.296</v>
      </c>
      <c r="R378" s="341">
        <f t="shared" si="69"/>
        <v>0</v>
      </c>
      <c r="S378" s="287"/>
      <c r="T378" s="287"/>
      <c r="U378" s="279">
        <f t="shared" si="68"/>
        <v>41.328255150685493</v>
      </c>
      <c r="V378" s="290"/>
      <c r="W378" s="290"/>
      <c r="X378" s="291">
        <v>1.5503199999999999</v>
      </c>
    </row>
    <row r="379" spans="1:24" ht="15.75">
      <c r="A379" s="283">
        <f t="shared" si="65"/>
        <v>360</v>
      </c>
      <c r="B379" s="305" t="s">
        <v>413</v>
      </c>
      <c r="C379" s="299">
        <v>0.5</v>
      </c>
      <c r="D379" s="293"/>
      <c r="E379" s="287">
        <f t="shared" si="62"/>
        <v>17.328366259779063</v>
      </c>
      <c r="F379" s="280">
        <f t="shared" si="66"/>
        <v>2.3125492426686964</v>
      </c>
      <c r="G379" s="288"/>
      <c r="H379" s="288"/>
      <c r="I379" s="288"/>
      <c r="J379" s="288"/>
      <c r="K379" s="288"/>
      <c r="L379" s="288">
        <f t="shared" si="63"/>
        <v>2.3125492426686964</v>
      </c>
      <c r="M379" s="288"/>
      <c r="N379" s="289">
        <f t="shared" si="67"/>
        <v>0.15</v>
      </c>
      <c r="O379" s="287">
        <f>(E379+G379+H379+I379+J379)*0.15</f>
        <v>2.5992549389668596</v>
      </c>
      <c r="P379" s="288"/>
      <c r="Q379" s="288">
        <f t="shared" si="61"/>
        <v>0.64800000000000002</v>
      </c>
      <c r="R379" s="341">
        <f t="shared" si="69"/>
        <v>0</v>
      </c>
      <c r="S379" s="287"/>
      <c r="T379" s="287"/>
      <c r="U379" s="279">
        <f t="shared" si="68"/>
        <v>22.888170441414619</v>
      </c>
      <c r="V379" s="290"/>
      <c r="W379" s="290"/>
      <c r="X379" s="291">
        <v>1.72258</v>
      </c>
    </row>
    <row r="380" spans="1:24" ht="17.25" customHeight="1">
      <c r="A380" s="283">
        <f t="shared" si="65"/>
        <v>361</v>
      </c>
      <c r="B380" s="513" t="s">
        <v>414</v>
      </c>
      <c r="C380" s="292">
        <v>1</v>
      </c>
      <c r="D380" s="293"/>
      <c r="E380" s="287">
        <f t="shared" si="62"/>
        <v>64.984642825397231</v>
      </c>
      <c r="F380" s="280">
        <f t="shared" si="66"/>
        <v>8.6724959697893755</v>
      </c>
      <c r="G380" s="288"/>
      <c r="H380" s="288"/>
      <c r="I380" s="288"/>
      <c r="J380" s="288"/>
      <c r="K380" s="288"/>
      <c r="L380" s="288">
        <f t="shared" si="63"/>
        <v>8.6724959697893755</v>
      </c>
      <c r="M380" s="288"/>
      <c r="N380" s="289">
        <f t="shared" si="67"/>
        <v>0.2</v>
      </c>
      <c r="O380" s="287">
        <f>(E380+G380+H380+I380+J380)*0.2</f>
        <v>12.996928565079447</v>
      </c>
      <c r="P380" s="288"/>
      <c r="Q380" s="288">
        <f t="shared" si="61"/>
        <v>1.296</v>
      </c>
      <c r="R380" s="341">
        <f t="shared" si="69"/>
        <v>0</v>
      </c>
      <c r="S380" s="287"/>
      <c r="T380" s="287"/>
      <c r="U380" s="279">
        <f t="shared" si="68"/>
        <v>87.950067360266061</v>
      </c>
      <c r="V380" s="327" t="s">
        <v>439</v>
      </c>
      <c r="W380" s="290"/>
      <c r="X380" s="291">
        <v>3.23</v>
      </c>
    </row>
    <row r="381" spans="1:24" ht="17.25" customHeight="1">
      <c r="A381" s="283">
        <f t="shared" si="65"/>
        <v>362</v>
      </c>
      <c r="B381" s="295" t="s">
        <v>415</v>
      </c>
      <c r="C381" s="292">
        <v>3</v>
      </c>
      <c r="D381" s="293"/>
      <c r="E381" s="287">
        <f t="shared" si="62"/>
        <v>116.96632136037522</v>
      </c>
      <c r="F381" s="280">
        <f t="shared" si="66"/>
        <v>29.645645813884194</v>
      </c>
      <c r="G381" s="288"/>
      <c r="H381" s="288"/>
      <c r="I381" s="288">
        <f t="shared" ref="I381:I387" si="70">E381*0.12</f>
        <v>14.035958563245027</v>
      </c>
      <c r="J381" s="288"/>
      <c r="K381" s="288"/>
      <c r="L381" s="288">
        <f t="shared" si="63"/>
        <v>15.609687250639166</v>
      </c>
      <c r="M381" s="288"/>
      <c r="N381" s="289">
        <f t="shared" si="67"/>
        <v>0.16800000000000001</v>
      </c>
      <c r="O381" s="287">
        <f>(E381+G381+H381+I381+J381)*0.15</f>
        <v>19.650341988543037</v>
      </c>
      <c r="P381" s="288"/>
      <c r="Q381" s="288">
        <f t="shared" si="61"/>
        <v>3.8879999999999999</v>
      </c>
      <c r="R381" s="341">
        <f t="shared" si="69"/>
        <v>0</v>
      </c>
      <c r="S381" s="287"/>
      <c r="T381" s="287"/>
      <c r="U381" s="279">
        <f t="shared" si="68"/>
        <v>170.15030916280244</v>
      </c>
      <c r="V381" s="290"/>
      <c r="W381" s="290"/>
      <c r="X381" s="291">
        <v>1.9379</v>
      </c>
    </row>
    <row r="382" spans="1:24" ht="17.25" customHeight="1">
      <c r="A382" s="283">
        <f t="shared" si="65"/>
        <v>363</v>
      </c>
      <c r="B382" s="295" t="s">
        <v>416</v>
      </c>
      <c r="C382" s="292">
        <v>1</v>
      </c>
      <c r="D382" s="293"/>
      <c r="E382" s="287">
        <f t="shared" si="62"/>
        <v>44.476052884066917</v>
      </c>
      <c r="F382" s="280">
        <f t="shared" si="66"/>
        <v>11.272657767343507</v>
      </c>
      <c r="G382" s="288"/>
      <c r="H382" s="288"/>
      <c r="I382" s="288">
        <f t="shared" si="70"/>
        <v>5.3371263460880298</v>
      </c>
      <c r="J382" s="288"/>
      <c r="K382" s="288"/>
      <c r="L382" s="288">
        <f t="shared" si="63"/>
        <v>5.9355314212554759</v>
      </c>
      <c r="M382" s="288"/>
      <c r="N382" s="289">
        <f t="shared" si="67"/>
        <v>0.16799999999999998</v>
      </c>
      <c r="O382" s="287">
        <f t="shared" ref="O382:O387" si="71">(E382+G382+H382+I382+J382)*0.15</f>
        <v>7.471976884523241</v>
      </c>
      <c r="P382" s="288"/>
      <c r="Q382" s="288">
        <f t="shared" si="61"/>
        <v>1.296</v>
      </c>
      <c r="R382" s="341">
        <f t="shared" si="69"/>
        <v>0</v>
      </c>
      <c r="S382" s="287"/>
      <c r="T382" s="287"/>
      <c r="U382" s="279">
        <f t="shared" si="68"/>
        <v>64.51668753593367</v>
      </c>
      <c r="V382" s="290"/>
      <c r="W382" s="290"/>
      <c r="X382" s="291">
        <v>2.2106400000000002</v>
      </c>
    </row>
    <row r="383" spans="1:24" ht="17.25" customHeight="1">
      <c r="A383" s="283">
        <f t="shared" si="65"/>
        <v>364</v>
      </c>
      <c r="B383" s="301" t="s">
        <v>417</v>
      </c>
      <c r="C383" s="292">
        <v>4</v>
      </c>
      <c r="D383" s="293"/>
      <c r="E383" s="287">
        <f t="shared" si="62"/>
        <v>155.9550951471669</v>
      </c>
      <c r="F383" s="280">
        <f t="shared" si="66"/>
        <v>53.173598577222677</v>
      </c>
      <c r="G383" s="288"/>
      <c r="H383" s="288"/>
      <c r="I383" s="288">
        <f t="shared" si="70"/>
        <v>18.714611417660027</v>
      </c>
      <c r="J383" s="288"/>
      <c r="K383" s="288">
        <f>E383/C383*0.35</f>
        <v>13.646070825377103</v>
      </c>
      <c r="L383" s="288">
        <f t="shared" si="63"/>
        <v>20.812916334185548</v>
      </c>
      <c r="M383" s="288"/>
      <c r="N383" s="289">
        <f t="shared" si="67"/>
        <v>0.16799999999999998</v>
      </c>
      <c r="O383" s="287">
        <f t="shared" si="71"/>
        <v>26.200455984724037</v>
      </c>
      <c r="P383" s="288"/>
      <c r="Q383" s="288">
        <f t="shared" si="61"/>
        <v>5.1840000000000002</v>
      </c>
      <c r="R383" s="341">
        <f t="shared" si="69"/>
        <v>0</v>
      </c>
      <c r="S383" s="287"/>
      <c r="T383" s="287"/>
      <c r="U383" s="279">
        <f t="shared" si="68"/>
        <v>240.51314970911361</v>
      </c>
      <c r="V383" s="290"/>
      <c r="W383" s="290"/>
      <c r="X383" s="291">
        <v>1.9379</v>
      </c>
    </row>
    <row r="384" spans="1:24" ht="17.25" customHeight="1">
      <c r="A384" s="283">
        <f t="shared" si="65"/>
        <v>365</v>
      </c>
      <c r="B384" s="301" t="s">
        <v>418</v>
      </c>
      <c r="C384" s="292">
        <v>1</v>
      </c>
      <c r="D384" s="293"/>
      <c r="E384" s="287">
        <f t="shared" si="62"/>
        <v>44.476052884066917</v>
      </c>
      <c r="F384" s="280">
        <f t="shared" si="66"/>
        <v>11.272657767343507</v>
      </c>
      <c r="G384" s="288"/>
      <c r="H384" s="288"/>
      <c r="I384" s="288">
        <f t="shared" si="70"/>
        <v>5.3371263460880298</v>
      </c>
      <c r="J384" s="288"/>
      <c r="K384" s="288"/>
      <c r="L384" s="288">
        <f t="shared" si="63"/>
        <v>5.9355314212554759</v>
      </c>
      <c r="M384" s="288"/>
      <c r="N384" s="289">
        <f t="shared" si="67"/>
        <v>0.16799999999999998</v>
      </c>
      <c r="O384" s="287">
        <f t="shared" si="71"/>
        <v>7.471976884523241</v>
      </c>
      <c r="P384" s="288"/>
      <c r="Q384" s="288">
        <f t="shared" si="61"/>
        <v>1.296</v>
      </c>
      <c r="R384" s="341">
        <f t="shared" si="69"/>
        <v>0</v>
      </c>
      <c r="S384" s="287"/>
      <c r="T384" s="287"/>
      <c r="U384" s="279">
        <f t="shared" si="68"/>
        <v>64.51668753593367</v>
      </c>
      <c r="V384" s="290"/>
      <c r="W384" s="290"/>
      <c r="X384" s="291">
        <v>2.2106400000000002</v>
      </c>
    </row>
    <row r="385" spans="1:24" ht="17.25" customHeight="1">
      <c r="A385" s="283">
        <f t="shared" si="65"/>
        <v>366</v>
      </c>
      <c r="B385" s="301" t="s">
        <v>419</v>
      </c>
      <c r="C385" s="292">
        <v>4</v>
      </c>
      <c r="D385" s="293"/>
      <c r="E385" s="287">
        <f t="shared" si="62"/>
        <v>155.9550951471669</v>
      </c>
      <c r="F385" s="280">
        <f t="shared" si="66"/>
        <v>39.527527751845575</v>
      </c>
      <c r="G385" s="288"/>
      <c r="H385" s="288"/>
      <c r="I385" s="288">
        <f t="shared" si="70"/>
        <v>18.714611417660027</v>
      </c>
      <c r="J385" s="288"/>
      <c r="K385" s="288"/>
      <c r="L385" s="288">
        <f t="shared" si="63"/>
        <v>20.812916334185548</v>
      </c>
      <c r="M385" s="288"/>
      <c r="N385" s="289">
        <f t="shared" si="67"/>
        <v>0.16799999999999998</v>
      </c>
      <c r="O385" s="287">
        <f t="shared" si="71"/>
        <v>26.200455984724037</v>
      </c>
      <c r="P385" s="288"/>
      <c r="Q385" s="288">
        <f t="shared" si="61"/>
        <v>5.1840000000000002</v>
      </c>
      <c r="R385" s="341">
        <f t="shared" si="69"/>
        <v>0</v>
      </c>
      <c r="S385" s="287"/>
      <c r="T385" s="287"/>
      <c r="U385" s="279">
        <f t="shared" si="68"/>
        <v>226.86707888373653</v>
      </c>
      <c r="V385" s="290"/>
      <c r="W385" s="290"/>
      <c r="X385" s="291">
        <v>1.9379</v>
      </c>
    </row>
    <row r="386" spans="1:24" ht="17.25" customHeight="1">
      <c r="A386" s="283">
        <f t="shared" si="65"/>
        <v>367</v>
      </c>
      <c r="B386" s="301" t="s">
        <v>420</v>
      </c>
      <c r="C386" s="292">
        <v>1</v>
      </c>
      <c r="D386" s="293"/>
      <c r="E386" s="287">
        <f t="shared" si="62"/>
        <v>44.476052884066917</v>
      </c>
      <c r="F386" s="280">
        <f t="shared" si="66"/>
        <v>11.272657767343507</v>
      </c>
      <c r="G386" s="288"/>
      <c r="H386" s="288"/>
      <c r="I386" s="288">
        <f t="shared" si="70"/>
        <v>5.3371263460880298</v>
      </c>
      <c r="J386" s="288"/>
      <c r="K386" s="288"/>
      <c r="L386" s="288">
        <f t="shared" si="63"/>
        <v>5.9355314212554759</v>
      </c>
      <c r="M386" s="288"/>
      <c r="N386" s="289">
        <f t="shared" si="67"/>
        <v>0.16799999999999998</v>
      </c>
      <c r="O386" s="287">
        <f t="shared" si="71"/>
        <v>7.471976884523241</v>
      </c>
      <c r="P386" s="288"/>
      <c r="Q386" s="288">
        <f t="shared" si="61"/>
        <v>1.296</v>
      </c>
      <c r="R386" s="341">
        <f t="shared" si="69"/>
        <v>0</v>
      </c>
      <c r="S386" s="287"/>
      <c r="T386" s="287"/>
      <c r="U386" s="279">
        <f t="shared" si="68"/>
        <v>64.51668753593367</v>
      </c>
      <c r="V386" s="290"/>
      <c r="W386" s="290"/>
      <c r="X386" s="291">
        <v>2.2106400000000002</v>
      </c>
    </row>
    <row r="387" spans="1:24" ht="17.25" customHeight="1">
      <c r="A387" s="283">
        <f>A385+1</f>
        <v>367</v>
      </c>
      <c r="B387" s="301" t="s">
        <v>421</v>
      </c>
      <c r="C387" s="292">
        <v>1</v>
      </c>
      <c r="D387" s="293"/>
      <c r="E387" s="287">
        <f t="shared" si="62"/>
        <v>38.988773786791725</v>
      </c>
      <c r="F387" s="280">
        <f t="shared" si="66"/>
        <v>9.8818819379613938</v>
      </c>
      <c r="G387" s="288"/>
      <c r="H387" s="288"/>
      <c r="I387" s="288">
        <f t="shared" si="70"/>
        <v>4.6786528544150068</v>
      </c>
      <c r="J387" s="288"/>
      <c r="K387" s="288"/>
      <c r="L387" s="288">
        <f t="shared" si="63"/>
        <v>5.203229083546387</v>
      </c>
      <c r="M387" s="288"/>
      <c r="N387" s="289">
        <f t="shared" si="67"/>
        <v>0.16799999999999998</v>
      </c>
      <c r="O387" s="287">
        <f t="shared" si="71"/>
        <v>6.5501139961810093</v>
      </c>
      <c r="P387" s="288"/>
      <c r="Q387" s="288">
        <f t="shared" si="61"/>
        <v>1.296</v>
      </c>
      <c r="R387" s="341">
        <f t="shared" si="69"/>
        <v>0</v>
      </c>
      <c r="S387" s="287"/>
      <c r="T387" s="287"/>
      <c r="U387" s="279">
        <f t="shared" si="68"/>
        <v>56.716769720934131</v>
      </c>
      <c r="V387" s="290"/>
      <c r="W387" s="290"/>
      <c r="X387" s="291">
        <v>1.9379</v>
      </c>
    </row>
    <row r="388" spans="1:24" ht="15.75">
      <c r="A388" s="283">
        <f t="shared" si="65"/>
        <v>368</v>
      </c>
      <c r="B388" s="513" t="s">
        <v>422</v>
      </c>
      <c r="C388" s="292">
        <v>1</v>
      </c>
      <c r="D388" s="293"/>
      <c r="E388" s="287">
        <f t="shared" si="62"/>
        <v>55.528673126345623</v>
      </c>
      <c r="F388" s="280">
        <f t="shared" si="66"/>
        <v>7.4105538317704882</v>
      </c>
      <c r="G388" s="288"/>
      <c r="H388" s="288"/>
      <c r="I388" s="288"/>
      <c r="J388" s="288"/>
      <c r="K388" s="288"/>
      <c r="L388" s="288">
        <f t="shared" si="63"/>
        <v>7.4105538317704882</v>
      </c>
      <c r="M388" s="288"/>
      <c r="N388" s="289">
        <f t="shared" si="67"/>
        <v>0.2</v>
      </c>
      <c r="O388" s="287">
        <f>(E388+G388+H388+I388+J388)*0.2</f>
        <v>11.105734625269125</v>
      </c>
      <c r="P388" s="288"/>
      <c r="Q388" s="288">
        <f t="shared" si="61"/>
        <v>1.296</v>
      </c>
      <c r="R388" s="341">
        <f t="shared" si="69"/>
        <v>0</v>
      </c>
      <c r="S388" s="287"/>
      <c r="T388" s="287"/>
      <c r="U388" s="279">
        <f t="shared" si="68"/>
        <v>75.340961583385237</v>
      </c>
      <c r="V388" s="327" t="s">
        <v>439</v>
      </c>
      <c r="W388" s="290"/>
      <c r="X388" s="291">
        <v>2.76</v>
      </c>
    </row>
    <row r="389" spans="1:24" ht="17.25" customHeight="1">
      <c r="A389" s="283">
        <f t="shared" si="65"/>
        <v>369</v>
      </c>
      <c r="B389" s="295" t="s">
        <v>423</v>
      </c>
      <c r="C389" s="292">
        <v>1</v>
      </c>
      <c r="D389" s="293"/>
      <c r="E389" s="287">
        <f t="shared" si="62"/>
        <v>50.965262387752254</v>
      </c>
      <c r="F389" s="280">
        <f t="shared" si="66"/>
        <v>6.8015459259291191</v>
      </c>
      <c r="G389" s="288"/>
      <c r="H389" s="288"/>
      <c r="I389" s="288"/>
      <c r="J389" s="288"/>
      <c r="K389" s="288"/>
      <c r="L389" s="288">
        <f t="shared" si="63"/>
        <v>6.8015459259291191</v>
      </c>
      <c r="M389" s="288"/>
      <c r="N389" s="289">
        <f t="shared" si="67"/>
        <v>0.15</v>
      </c>
      <c r="O389" s="287">
        <f>(E389+G389+H389+I389+J389)*0.15</f>
        <v>7.6447893581628374</v>
      </c>
      <c r="P389" s="288"/>
      <c r="Q389" s="288">
        <f t="shared" si="61"/>
        <v>1.296</v>
      </c>
      <c r="R389" s="341">
        <f t="shared" si="69"/>
        <v>0</v>
      </c>
      <c r="S389" s="287"/>
      <c r="T389" s="287"/>
      <c r="U389" s="279">
        <f t="shared" si="68"/>
        <v>66.707597671844212</v>
      </c>
      <c r="V389" s="290"/>
      <c r="W389" s="290"/>
      <c r="X389" s="291">
        <v>2.5331800000000002</v>
      </c>
    </row>
    <row r="390" spans="1:24" ht="17.25" customHeight="1">
      <c r="A390" s="283">
        <f t="shared" si="65"/>
        <v>370</v>
      </c>
      <c r="B390" s="295" t="s">
        <v>424</v>
      </c>
      <c r="C390" s="292">
        <v>28</v>
      </c>
      <c r="D390" s="293"/>
      <c r="E390" s="287">
        <f t="shared" si="62"/>
        <v>808.65521434180619</v>
      </c>
      <c r="F390" s="280">
        <f t="shared" si="66"/>
        <v>224.19065701022765</v>
      </c>
      <c r="G390" s="288">
        <f>E390/2003*60*12*0.4</f>
        <v>116.2719429507939</v>
      </c>
      <c r="H390" s="288"/>
      <c r="I390" s="288"/>
      <c r="J390" s="288"/>
      <c r="K390" s="288"/>
      <c r="L390" s="288">
        <f t="shared" si="63"/>
        <v>107.91871405943375</v>
      </c>
      <c r="M390" s="288"/>
      <c r="N390" s="289">
        <f t="shared" si="67"/>
        <v>0.17156764852720915</v>
      </c>
      <c r="O390" s="287">
        <f>(E390+G390+H390+I390+J390)*0.15</f>
        <v>138.73907359389</v>
      </c>
      <c r="P390" s="288"/>
      <c r="Q390" s="288">
        <f t="shared" si="61"/>
        <v>36.288000000000004</v>
      </c>
      <c r="R390" s="341">
        <f t="shared" si="69"/>
        <v>0</v>
      </c>
      <c r="S390" s="287"/>
      <c r="T390" s="287"/>
      <c r="U390" s="279">
        <f t="shared" si="68"/>
        <v>1207.8729449459238</v>
      </c>
      <c r="V390" s="290"/>
      <c r="W390" s="290"/>
      <c r="X390" s="291">
        <v>1.4354800000000001</v>
      </c>
    </row>
    <row r="391" spans="1:24" ht="17.25" customHeight="1">
      <c r="A391" s="283">
        <f t="shared" si="65"/>
        <v>371</v>
      </c>
      <c r="B391" s="301" t="s">
        <v>425</v>
      </c>
      <c r="C391" s="292">
        <v>1</v>
      </c>
      <c r="D391" s="293"/>
      <c r="E391" s="287">
        <f t="shared" si="62"/>
        <v>31.191019029433377</v>
      </c>
      <c r="F391" s="280">
        <f t="shared" si="66"/>
        <v>4.1625832668371086</v>
      </c>
      <c r="G391" s="288"/>
      <c r="H391" s="288"/>
      <c r="I391" s="288"/>
      <c r="J391" s="288"/>
      <c r="K391" s="288"/>
      <c r="L391" s="288">
        <f t="shared" si="63"/>
        <v>4.1625832668371086</v>
      </c>
      <c r="M391" s="288"/>
      <c r="N391" s="289">
        <f t="shared" si="67"/>
        <v>0.15</v>
      </c>
      <c r="O391" s="287">
        <f>(E391+G391+H391+I391+J391)*0.15</f>
        <v>4.6786528544150068</v>
      </c>
      <c r="P391" s="288"/>
      <c r="Q391" s="288">
        <f t="shared" si="61"/>
        <v>1.296</v>
      </c>
      <c r="R391" s="341">
        <f t="shared" si="69"/>
        <v>0</v>
      </c>
      <c r="S391" s="287"/>
      <c r="T391" s="287"/>
      <c r="U391" s="279">
        <f t="shared" si="68"/>
        <v>41.328255150685493</v>
      </c>
      <c r="V391" s="290"/>
      <c r="W391" s="290"/>
      <c r="X391" s="291">
        <v>1.5503199999999999</v>
      </c>
    </row>
    <row r="392" spans="1:24" ht="17.25" customHeight="1">
      <c r="A392" s="283">
        <f t="shared" si="65"/>
        <v>372</v>
      </c>
      <c r="B392" s="301" t="s">
        <v>426</v>
      </c>
      <c r="C392" s="292">
        <v>10</v>
      </c>
      <c r="D392" s="293"/>
      <c r="E392" s="287">
        <f t="shared" si="62"/>
        <v>288.80543369350221</v>
      </c>
      <c r="F392" s="280">
        <f t="shared" si="66"/>
        <v>91.620309137107114</v>
      </c>
      <c r="G392" s="288">
        <f>E392/2003*60*12*0.4</f>
        <v>41.52569391099783</v>
      </c>
      <c r="H392" s="288"/>
      <c r="I392" s="288">
        <f>E392*0.04</f>
        <v>11.552217347740088</v>
      </c>
      <c r="J392" s="288"/>
      <c r="K392" s="288"/>
      <c r="L392" s="288">
        <f t="shared" si="63"/>
        <v>38.542397878369201</v>
      </c>
      <c r="M392" s="288"/>
      <c r="N392" s="289">
        <f t="shared" si="67"/>
        <v>0.17756764852720919</v>
      </c>
      <c r="O392" s="287">
        <f>(E392+G392+H392+I392+J392)*0.15</f>
        <v>51.282501742836018</v>
      </c>
      <c r="P392" s="288"/>
      <c r="Q392" s="288">
        <f t="shared" si="61"/>
        <v>12.96</v>
      </c>
      <c r="R392" s="341">
        <f t="shared" si="69"/>
        <v>0</v>
      </c>
      <c r="S392" s="287"/>
      <c r="T392" s="287"/>
      <c r="U392" s="279">
        <f t="shared" si="68"/>
        <v>444.66824457344535</v>
      </c>
      <c r="V392" s="290"/>
      <c r="W392" s="290"/>
      <c r="X392" s="291">
        <v>1.4354800000000001</v>
      </c>
    </row>
    <row r="393" spans="1:24" ht="17.25" customHeight="1">
      <c r="A393" s="283">
        <f t="shared" si="65"/>
        <v>373</v>
      </c>
      <c r="B393" s="516" t="s">
        <v>427</v>
      </c>
      <c r="C393" s="299">
        <v>1</v>
      </c>
      <c r="D393" s="293"/>
      <c r="E393" s="287">
        <f>X393*8*(C393-D393)*1.063*1.13045*1.1611*1.0487*1.25</f>
        <v>30.405277330649518</v>
      </c>
      <c r="F393" s="280">
        <f t="shared" si="66"/>
        <v>5.1993024235410683</v>
      </c>
      <c r="G393" s="288"/>
      <c r="H393" s="288"/>
      <c r="I393" s="288"/>
      <c r="J393" s="288"/>
      <c r="K393" s="288"/>
      <c r="L393" s="288">
        <f>E393/8*1.368</f>
        <v>5.1993024235410683</v>
      </c>
      <c r="M393" s="288"/>
      <c r="N393" s="289">
        <f t="shared" si="67"/>
        <v>0.3</v>
      </c>
      <c r="O393" s="287">
        <f>(E393+G393+H393+I393+J393)*0.3</f>
        <v>9.1215831991948555</v>
      </c>
      <c r="P393" s="288"/>
      <c r="Q393" s="288">
        <f t="shared" si="61"/>
        <v>1.296</v>
      </c>
      <c r="R393" s="341">
        <f t="shared" si="69"/>
        <v>0</v>
      </c>
      <c r="S393" s="287"/>
      <c r="T393" s="287"/>
      <c r="U393" s="279">
        <f t="shared" si="68"/>
        <v>46.02216295338544</v>
      </c>
      <c r="V393" s="290"/>
      <c r="W393" s="290"/>
      <c r="X393" s="291">
        <v>2.0779899999999998</v>
      </c>
    </row>
    <row r="394" spans="1:24" ht="17.25" customHeight="1">
      <c r="A394" s="283">
        <f t="shared" si="65"/>
        <v>374</v>
      </c>
      <c r="B394" s="305" t="s">
        <v>428</v>
      </c>
      <c r="C394" s="299">
        <v>1</v>
      </c>
      <c r="D394" s="293"/>
      <c r="E394" s="287">
        <f>X394*8*(C394-D394)*1.063*1.13045*1.1611*1.0487*1.25</f>
        <v>26.654055741874494</v>
      </c>
      <c r="F394" s="280">
        <f t="shared" si="66"/>
        <v>4.5578435318605388</v>
      </c>
      <c r="G394" s="288"/>
      <c r="H394" s="288"/>
      <c r="I394" s="288"/>
      <c r="J394" s="288"/>
      <c r="K394" s="288"/>
      <c r="L394" s="288">
        <f>E394/8*1.368</f>
        <v>4.5578435318605388</v>
      </c>
      <c r="M394" s="288"/>
      <c r="N394" s="289">
        <f t="shared" si="67"/>
        <v>0.15</v>
      </c>
      <c r="O394" s="287">
        <f>(E394+G394+H394+I394+J394)*0.15</f>
        <v>3.9981083612811741</v>
      </c>
      <c r="P394" s="288"/>
      <c r="Q394" s="288">
        <f t="shared" si="61"/>
        <v>1.296</v>
      </c>
      <c r="R394" s="341">
        <f t="shared" si="69"/>
        <v>0</v>
      </c>
      <c r="S394" s="287"/>
      <c r="T394" s="287"/>
      <c r="U394" s="279">
        <f t="shared" si="68"/>
        <v>36.506007635016203</v>
      </c>
      <c r="V394" s="290"/>
      <c r="W394" s="290"/>
      <c r="X394" s="291">
        <v>1.82162</v>
      </c>
    </row>
    <row r="395" spans="1:24" ht="17.25" hidden="1" customHeight="1">
      <c r="A395" s="283"/>
      <c r="B395" s="284"/>
      <c r="C395" s="299"/>
      <c r="D395" s="293"/>
      <c r="E395" s="287">
        <f>X395*11*(C395-D395)*1.0619*1.05</f>
        <v>0</v>
      </c>
      <c r="F395" s="280">
        <f t="shared" si="66"/>
        <v>0</v>
      </c>
      <c r="G395" s="288"/>
      <c r="H395" s="288"/>
      <c r="I395" s="288"/>
      <c r="J395" s="288"/>
      <c r="K395" s="288"/>
      <c r="L395" s="288">
        <f>E395/11*1.4</f>
        <v>0</v>
      </c>
      <c r="M395" s="288">
        <f>E395*0.1</f>
        <v>0</v>
      </c>
      <c r="N395" s="289" t="e">
        <f t="shared" si="67"/>
        <v>#DIV/0!</v>
      </c>
      <c r="O395" s="287">
        <f>(E395+G395+H395+I395+J395)*1</f>
        <v>0</v>
      </c>
      <c r="P395" s="288"/>
      <c r="Q395" s="288">
        <f>0.3583*12*C395</f>
        <v>0</v>
      </c>
      <c r="R395" s="279">
        <f t="shared" si="69"/>
        <v>0</v>
      </c>
      <c r="S395" s="287">
        <f>0.4*(C395-D395)</f>
        <v>0</v>
      </c>
      <c r="T395" s="287"/>
      <c r="U395" s="279">
        <f t="shared" si="68"/>
        <v>0</v>
      </c>
      <c r="V395" s="290"/>
      <c r="W395" s="290"/>
      <c r="X395" s="291"/>
    </row>
    <row r="396" spans="1:24" ht="17.25" customHeight="1">
      <c r="A396" s="307"/>
      <c r="B396" s="308"/>
      <c r="C396" s="309"/>
      <c r="D396" s="310"/>
      <c r="E396" s="311"/>
      <c r="F396" s="312"/>
      <c r="G396" s="311"/>
      <c r="H396" s="311"/>
      <c r="I396" s="311"/>
      <c r="J396" s="311"/>
      <c r="K396" s="311"/>
      <c r="L396" s="311"/>
      <c r="M396" s="311"/>
      <c r="N396" s="313"/>
      <c r="O396" s="314"/>
      <c r="P396" s="314"/>
      <c r="Q396" s="314"/>
      <c r="R396" s="315"/>
      <c r="S396" s="314"/>
      <c r="T396" s="314"/>
      <c r="U396" s="315"/>
    </row>
    <row r="397" spans="1:24" ht="15" customHeight="1"/>
    <row r="398" spans="1:24" ht="19.5" customHeight="1">
      <c r="B398" s="350" t="s">
        <v>463</v>
      </c>
      <c r="C398" s="819"/>
      <c r="D398" s="819"/>
      <c r="E398" s="819"/>
      <c r="F398" s="316"/>
      <c r="G398" s="316"/>
      <c r="H398" s="816" t="s">
        <v>317</v>
      </c>
      <c r="I398" s="816"/>
      <c r="J398" s="816"/>
      <c r="K398" s="349"/>
      <c r="L398" s="349"/>
      <c r="M398" s="316"/>
      <c r="N398" s="316"/>
      <c r="O398" s="316"/>
      <c r="P398" s="316"/>
      <c r="Q398" s="316"/>
      <c r="R398" s="316"/>
      <c r="S398" s="316"/>
      <c r="T398" s="316"/>
      <c r="U398" s="316"/>
    </row>
    <row r="399" spans="1:24" ht="19.5" customHeight="1">
      <c r="C399" s="310"/>
      <c r="D399" s="310"/>
      <c r="E399" s="310"/>
      <c r="F399" s="316"/>
      <c r="G399" s="316"/>
      <c r="H399" s="316"/>
      <c r="I399" s="316"/>
      <c r="J399" s="316"/>
      <c r="K399" s="316"/>
      <c r="L399" s="316"/>
      <c r="M399" s="316"/>
      <c r="N399" s="316"/>
      <c r="O399" s="316"/>
      <c r="P399" s="316"/>
      <c r="Q399" s="316"/>
      <c r="R399" s="316"/>
      <c r="S399" s="316"/>
      <c r="T399" s="316"/>
      <c r="U399" s="316"/>
    </row>
    <row r="400" spans="1:24" ht="19.5" customHeight="1">
      <c r="B400" s="349" t="s">
        <v>1168</v>
      </c>
      <c r="C400" s="819"/>
      <c r="D400" s="819"/>
      <c r="E400" s="819"/>
      <c r="F400" s="316"/>
      <c r="G400" s="316"/>
      <c r="H400" s="820" t="s">
        <v>1169</v>
      </c>
      <c r="I400" s="820"/>
      <c r="J400" s="820"/>
      <c r="K400" s="316"/>
      <c r="L400" s="316"/>
      <c r="M400" s="316"/>
      <c r="N400" s="316"/>
      <c r="O400" s="316"/>
      <c r="P400" s="316"/>
      <c r="Q400" s="316"/>
      <c r="R400" s="316"/>
      <c r="S400" s="316"/>
      <c r="T400" s="316"/>
      <c r="U400" s="316"/>
    </row>
    <row r="401" spans="1:27" ht="19.5" customHeight="1">
      <c r="B401" s="346"/>
      <c r="C401" s="347"/>
      <c r="D401" s="310"/>
      <c r="E401" s="310"/>
      <c r="F401" s="316"/>
      <c r="G401" s="316"/>
      <c r="H401" s="348"/>
      <c r="I401" s="348"/>
      <c r="J401" s="348"/>
      <c r="K401" s="316"/>
      <c r="L401" s="316"/>
      <c r="M401" s="316"/>
      <c r="N401" s="316"/>
      <c r="O401" s="316"/>
      <c r="P401" s="316"/>
      <c r="Q401" s="316"/>
      <c r="R401" s="316"/>
      <c r="S401" s="316"/>
      <c r="T401" s="316"/>
      <c r="U401" s="316"/>
    </row>
    <row r="402" spans="1:27" ht="19.5" customHeight="1">
      <c r="B402" s="349" t="s">
        <v>1170</v>
      </c>
      <c r="C402" s="819"/>
      <c r="D402" s="819"/>
      <c r="E402" s="819"/>
      <c r="F402" s="316"/>
      <c r="G402" s="316"/>
      <c r="H402" s="820" t="s">
        <v>1171</v>
      </c>
      <c r="I402" s="820"/>
      <c r="J402" s="820"/>
      <c r="K402" s="316"/>
      <c r="L402" s="316"/>
      <c r="M402" s="316"/>
      <c r="N402" s="316"/>
      <c r="O402" s="316"/>
      <c r="P402" s="316"/>
      <c r="Q402" s="316"/>
      <c r="R402" s="316"/>
      <c r="S402" s="316"/>
      <c r="T402" s="316"/>
      <c r="U402" s="316"/>
    </row>
    <row r="403" spans="1:27" ht="19.5" customHeight="1">
      <c r="C403" s="316"/>
      <c r="D403" s="317"/>
      <c r="E403" s="316"/>
      <c r="F403" s="316"/>
      <c r="G403" s="316"/>
      <c r="H403" s="316"/>
      <c r="I403" s="316"/>
      <c r="J403" s="316"/>
      <c r="K403" s="316"/>
      <c r="L403" s="316"/>
      <c r="M403" s="316"/>
      <c r="N403" s="316"/>
      <c r="O403" s="316"/>
      <c r="P403" s="316"/>
      <c r="Q403" s="316"/>
      <c r="R403" s="316"/>
      <c r="S403" s="316"/>
      <c r="T403" s="316"/>
      <c r="U403" s="316"/>
    </row>
    <row r="404" spans="1:27" ht="19.5" customHeight="1">
      <c r="B404" s="350" t="s">
        <v>1172</v>
      </c>
      <c r="C404" s="819"/>
      <c r="D404" s="819"/>
      <c r="E404" s="819"/>
      <c r="F404" s="316"/>
      <c r="G404" s="316"/>
      <c r="H404" s="820" t="s">
        <v>462</v>
      </c>
      <c r="I404" s="820"/>
      <c r="J404" s="820"/>
      <c r="K404" s="316"/>
      <c r="L404" s="316"/>
      <c r="M404" s="316"/>
      <c r="N404" s="316"/>
      <c r="O404" s="316"/>
      <c r="P404" s="316"/>
      <c r="Q404" s="316"/>
      <c r="R404" s="316"/>
      <c r="S404" s="316"/>
      <c r="T404" s="316"/>
      <c r="U404" s="316"/>
    </row>
    <row r="405" spans="1:27" ht="19.5" customHeight="1">
      <c r="C405" s="316"/>
      <c r="D405" s="317"/>
      <c r="E405" s="316"/>
      <c r="F405" s="316"/>
      <c r="G405" s="316"/>
      <c r="H405" s="316"/>
      <c r="I405" s="316"/>
      <c r="J405" s="316"/>
      <c r="K405" s="316"/>
      <c r="L405" s="316"/>
      <c r="M405" s="316"/>
      <c r="N405" s="316"/>
      <c r="O405" s="316"/>
      <c r="P405" s="316"/>
      <c r="Q405" s="316"/>
      <c r="R405" s="316"/>
      <c r="S405" s="316"/>
      <c r="T405" s="316"/>
      <c r="U405" s="316"/>
    </row>
    <row r="406" spans="1:27" ht="18" customHeight="1">
      <c r="C406" s="316"/>
      <c r="D406" s="317"/>
      <c r="E406" s="316"/>
      <c r="F406" s="316"/>
      <c r="G406" s="316"/>
      <c r="H406" s="316"/>
      <c r="I406" s="316"/>
      <c r="J406" s="316"/>
      <c r="K406" s="316"/>
      <c r="L406" s="316"/>
      <c r="M406" s="316"/>
      <c r="N406" s="316"/>
      <c r="O406" s="316"/>
      <c r="P406" s="316"/>
      <c r="Q406" s="316"/>
      <c r="R406" s="316"/>
      <c r="S406" s="316"/>
      <c r="T406" s="316"/>
      <c r="U406" s="316"/>
    </row>
    <row r="407" spans="1:27" ht="14.85" customHeight="1">
      <c r="A407" s="318"/>
      <c r="B407" s="319" t="s">
        <v>429</v>
      </c>
      <c r="C407" s="320">
        <f t="shared" ref="C407:M407" si="72">SUM(C395:C395,C388,C380,C308:C313,C295:C297,C276:C277,C261:C263,C255:C258,C249:C251,C236:C237,C220:C222,C214,C210,C201:C203,C184:C186,C152:C156,C135:C139,C129:C130,C122:C124,C119:C120,C65:C71,C13:C57)+C302+C303+C304+C266+C267+C268+C245+C246</f>
        <v>146</v>
      </c>
      <c r="D407" s="320">
        <f t="shared" si="72"/>
        <v>0</v>
      </c>
      <c r="E407" s="320">
        <f t="shared" si="72"/>
        <v>9302.7583594753032</v>
      </c>
      <c r="F407" s="320">
        <f t="shared" si="72"/>
        <v>1651.729621920392</v>
      </c>
      <c r="G407" s="320">
        <f t="shared" si="72"/>
        <v>140.35909023891759</v>
      </c>
      <c r="H407" s="320">
        <f t="shared" si="72"/>
        <v>0</v>
      </c>
      <c r="I407" s="320">
        <f t="shared" si="72"/>
        <v>202.63137110844295</v>
      </c>
      <c r="J407" s="320">
        <f t="shared" si="72"/>
        <v>0</v>
      </c>
      <c r="K407" s="320">
        <f t="shared" si="72"/>
        <v>0</v>
      </c>
      <c r="L407" s="320">
        <f t="shared" si="72"/>
        <v>1241.4953883372489</v>
      </c>
      <c r="M407" s="320">
        <f t="shared" si="72"/>
        <v>67.243772235781748</v>
      </c>
      <c r="N407" s="289">
        <f t="shared" ref="N407:N414" si="73">O407/E407</f>
        <v>0.22822510300082818</v>
      </c>
      <c r="O407" s="320">
        <f t="shared" ref="O407:U407" si="74">SUM(O395:O395,O388,O380,O308:O313,O295:O297,O276:O277,O261:O263,O255:O258,O249:O251,O236:O237,O220:O222,O214,O210,O201:O203,O184:O186,O152:O156,O135:O139,O129:O130,O122:O124,O119:O120,O65:O71,O13:O57)+O302+O303+O304+O266+O267+O268+O245+O246</f>
        <v>2123.1229847830664</v>
      </c>
      <c r="P407" s="320">
        <f t="shared" si="74"/>
        <v>0</v>
      </c>
      <c r="Q407" s="320">
        <f t="shared" si="74"/>
        <v>189.21599999999998</v>
      </c>
      <c r="R407" s="320">
        <f t="shared" si="74"/>
        <v>0</v>
      </c>
      <c r="S407" s="320">
        <f t="shared" si="74"/>
        <v>0</v>
      </c>
      <c r="T407" s="320">
        <f t="shared" si="74"/>
        <v>0</v>
      </c>
      <c r="U407" s="279">
        <f t="shared" si="74"/>
        <v>13266.826966178765</v>
      </c>
      <c r="V407" s="321"/>
      <c r="X407" s="265">
        <f>X408*6</f>
        <v>0</v>
      </c>
      <c r="Y407" s="265">
        <f>Y408*2</f>
        <v>0</v>
      </c>
      <c r="Z407" s="265">
        <f>Z408*1</f>
        <v>0</v>
      </c>
      <c r="AA407" s="319" t="s">
        <v>429</v>
      </c>
    </row>
    <row r="408" spans="1:27" ht="14.85" customHeight="1">
      <c r="A408" s="318"/>
      <c r="B408" s="319"/>
      <c r="C408" s="320"/>
      <c r="D408" s="322"/>
      <c r="E408" s="320"/>
      <c r="F408" s="320"/>
      <c r="G408" s="320"/>
      <c r="H408" s="320"/>
      <c r="I408" s="320"/>
      <c r="J408" s="320"/>
      <c r="K408" s="320"/>
      <c r="L408" s="320"/>
      <c r="M408" s="320"/>
      <c r="N408" s="289"/>
      <c r="O408" s="320"/>
      <c r="P408" s="320"/>
      <c r="Q408" s="320"/>
      <c r="R408" s="320"/>
      <c r="S408" s="320"/>
      <c r="T408" s="320"/>
      <c r="U408" s="279"/>
      <c r="V408" s="321"/>
      <c r="X408" s="265">
        <f>W408*1.0202</f>
        <v>0</v>
      </c>
      <c r="Y408" s="265">
        <f>W408*1.0468</f>
        <v>0</v>
      </c>
      <c r="Z408" s="265">
        <f>W408*1.067</f>
        <v>0</v>
      </c>
      <c r="AA408" s="319"/>
    </row>
    <row r="409" spans="1:27" ht="14.85" customHeight="1">
      <c r="A409" s="318"/>
      <c r="B409" s="319" t="s">
        <v>430</v>
      </c>
      <c r="C409" s="335">
        <f t="shared" ref="C409:M409" si="75">SUM(C220:C235,C136:C200,C65:C113,C236:C244)</f>
        <v>457.75</v>
      </c>
      <c r="D409" s="320">
        <f t="shared" si="75"/>
        <v>0</v>
      </c>
      <c r="E409" s="320">
        <f t="shared" si="75"/>
        <v>17899.272039886062</v>
      </c>
      <c r="F409" s="320">
        <f t="shared" si="75"/>
        <v>5425.863804160027</v>
      </c>
      <c r="G409" s="320">
        <f t="shared" si="75"/>
        <v>1147.8723189983757</v>
      </c>
      <c r="H409" s="320">
        <f t="shared" si="75"/>
        <v>0</v>
      </c>
      <c r="I409" s="320">
        <f t="shared" si="75"/>
        <v>1542.6778237599212</v>
      </c>
      <c r="J409" s="320">
        <f t="shared" si="75"/>
        <v>0</v>
      </c>
      <c r="K409" s="320">
        <f t="shared" si="75"/>
        <v>343.86641858234958</v>
      </c>
      <c r="L409" s="320">
        <f t="shared" si="75"/>
        <v>2388.7392140502479</v>
      </c>
      <c r="M409" s="320">
        <f t="shared" si="75"/>
        <v>2.7080287691326532</v>
      </c>
      <c r="N409" s="289">
        <f t="shared" si="73"/>
        <v>0.20621937949025343</v>
      </c>
      <c r="O409" s="320">
        <f t="shared" ref="O409:T409" si="76">SUM(O220:O235,O136:O200,O65:O113,O236:O244)</f>
        <v>3691.1767733925462</v>
      </c>
      <c r="P409" s="320">
        <f t="shared" si="76"/>
        <v>0</v>
      </c>
      <c r="Q409" s="320">
        <f t="shared" si="76"/>
        <v>593.24400000000037</v>
      </c>
      <c r="R409" s="320">
        <f t="shared" si="76"/>
        <v>0</v>
      </c>
      <c r="S409" s="320">
        <f t="shared" si="76"/>
        <v>0</v>
      </c>
      <c r="T409" s="320">
        <f t="shared" si="76"/>
        <v>0</v>
      </c>
      <c r="U409" s="279">
        <f>SUM(U220:U235,U136:U200,U65:U113,U236:U244)</f>
        <v>27609.556617438626</v>
      </c>
      <c r="V409" s="320">
        <f>SUM(V220:V235,V136:V200,V65:V111,V236:V244)</f>
        <v>0</v>
      </c>
      <c r="W409" s="320">
        <f>SUM(W220:W235,W136:W200,W65:W111,W236:W244)</f>
        <v>0</v>
      </c>
      <c r="AA409" s="319" t="s">
        <v>430</v>
      </c>
    </row>
    <row r="410" spans="1:27" ht="14.85" customHeight="1">
      <c r="A410" s="318"/>
      <c r="B410" s="319" t="s">
        <v>431</v>
      </c>
      <c r="C410" s="335">
        <f t="shared" ref="C410:M410" si="77">SUM(C119:C135,C201:C219,C249:C254,C255:C260,C276:C392,)+C245+C246+C247+C248</f>
        <v>273.25</v>
      </c>
      <c r="D410" s="320">
        <f t="shared" si="77"/>
        <v>0</v>
      </c>
      <c r="E410" s="320">
        <f t="shared" si="77"/>
        <v>11876.696030695792</v>
      </c>
      <c r="F410" s="320">
        <f t="shared" si="77"/>
        <v>2837.6254636211179</v>
      </c>
      <c r="G410" s="320">
        <f t="shared" si="77"/>
        <v>349.17401645653229</v>
      </c>
      <c r="H410" s="320">
        <f t="shared" si="77"/>
        <v>0</v>
      </c>
      <c r="I410" s="320">
        <f t="shared" si="77"/>
        <v>337.45752446385291</v>
      </c>
      <c r="J410" s="320">
        <f t="shared" si="77"/>
        <v>467.51208485415663</v>
      </c>
      <c r="K410" s="320">
        <f t="shared" si="77"/>
        <v>70.901766162289945</v>
      </c>
      <c r="L410" s="320">
        <f t="shared" si="77"/>
        <v>1584.9990702783114</v>
      </c>
      <c r="M410" s="320">
        <f t="shared" si="77"/>
        <v>27.58100140597578</v>
      </c>
      <c r="N410" s="289">
        <f t="shared" si="73"/>
        <v>0.19884182740986456</v>
      </c>
      <c r="O410" s="320">
        <f t="shared" ref="O410:U410" si="78">SUM(O119:O135,O201:O219,O249:O254,O255:O260,O276:O392,)+O245+O246+O247+O248</f>
        <v>2361.5839423350362</v>
      </c>
      <c r="P410" s="320">
        <f t="shared" si="78"/>
        <v>0</v>
      </c>
      <c r="Q410" s="320">
        <f t="shared" si="78"/>
        <v>354.13199999999989</v>
      </c>
      <c r="R410" s="320">
        <f t="shared" si="78"/>
        <v>0</v>
      </c>
      <c r="S410" s="320">
        <f t="shared" si="78"/>
        <v>0</v>
      </c>
      <c r="T410" s="320">
        <f t="shared" si="78"/>
        <v>0</v>
      </c>
      <c r="U410" s="279">
        <f t="shared" si="78"/>
        <v>17430.037436651935</v>
      </c>
      <c r="V410" s="321"/>
      <c r="AA410" s="319" t="s">
        <v>431</v>
      </c>
    </row>
    <row r="411" spans="1:27" ht="14.85" customHeight="1">
      <c r="A411" s="318"/>
      <c r="B411" s="319" t="s">
        <v>432</v>
      </c>
      <c r="C411" s="335">
        <f>SUM(C13:C64)</f>
        <v>56</v>
      </c>
      <c r="D411" s="320">
        <f t="shared" ref="D411:M411" si="79">SUM(D13:D64)</f>
        <v>0</v>
      </c>
      <c r="E411" s="320">
        <f t="shared" si="79"/>
        <v>3514.6090171248525</v>
      </c>
      <c r="F411" s="320">
        <f t="shared" si="79"/>
        <v>535.7976726039268</v>
      </c>
      <c r="G411" s="320">
        <f t="shared" si="79"/>
        <v>0</v>
      </c>
      <c r="H411" s="320">
        <f t="shared" si="79"/>
        <v>0</v>
      </c>
      <c r="I411" s="320">
        <f t="shared" si="79"/>
        <v>2.2213803064336313</v>
      </c>
      <c r="J411" s="320">
        <f t="shared" si="79"/>
        <v>0</v>
      </c>
      <c r="K411" s="320">
        <f t="shared" si="79"/>
        <v>0</v>
      </c>
      <c r="L411" s="320">
        <f t="shared" si="79"/>
        <v>469.04054883084405</v>
      </c>
      <c r="M411" s="320">
        <f t="shared" si="79"/>
        <v>64.535743466649095</v>
      </c>
      <c r="N411" s="289">
        <f t="shared" si="73"/>
        <v>0.19107695240149167</v>
      </c>
      <c r="O411" s="320">
        <f t="shared" ref="O411:U411" si="80">SUM(O13:O64)</f>
        <v>671.56077987501885</v>
      </c>
      <c r="P411" s="320">
        <f t="shared" si="80"/>
        <v>0</v>
      </c>
      <c r="Q411" s="320">
        <f t="shared" si="80"/>
        <v>72.575999999999993</v>
      </c>
      <c r="R411" s="320">
        <f t="shared" si="80"/>
        <v>0</v>
      </c>
      <c r="S411" s="320">
        <f t="shared" si="80"/>
        <v>0</v>
      </c>
      <c r="T411" s="320">
        <f t="shared" si="80"/>
        <v>0</v>
      </c>
      <c r="U411" s="279">
        <f t="shared" si="80"/>
        <v>4794.5434696037992</v>
      </c>
      <c r="V411" s="321"/>
      <c r="X411" s="265">
        <f>W411*1.0202</f>
        <v>0</v>
      </c>
      <c r="Y411" s="265">
        <f>W411*1.0468</f>
        <v>0</v>
      </c>
      <c r="Z411" s="265">
        <f>W411*1.067</f>
        <v>0</v>
      </c>
      <c r="AA411" s="319" t="s">
        <v>432</v>
      </c>
    </row>
    <row r="412" spans="1:27" ht="14.85" customHeight="1">
      <c r="A412" s="318"/>
      <c r="B412" s="319" t="s">
        <v>795</v>
      </c>
      <c r="C412" s="335">
        <f>SUM(C261:C275)-C273-C274-C268</f>
        <v>52</v>
      </c>
      <c r="D412" s="335">
        <f t="shared" ref="D412:U412" si="81">SUM(D261:D275)-D273-D274-D268</f>
        <v>0</v>
      </c>
      <c r="E412" s="335">
        <f t="shared" si="81"/>
        <v>2111.7590604301286</v>
      </c>
      <c r="F412" s="335">
        <f t="shared" si="81"/>
        <v>341.61534623841982</v>
      </c>
      <c r="G412" s="335">
        <f t="shared" si="81"/>
        <v>0</v>
      </c>
      <c r="H412" s="335">
        <f t="shared" si="81"/>
        <v>0</v>
      </c>
      <c r="I412" s="335">
        <f t="shared" si="81"/>
        <v>8.4562282490313692</v>
      </c>
      <c r="J412" s="335">
        <f t="shared" si="81"/>
        <v>0</v>
      </c>
      <c r="K412" s="335">
        <f t="shared" si="81"/>
        <v>51.335272470167681</v>
      </c>
      <c r="L412" s="335">
        <f t="shared" si="81"/>
        <v>281.8238455192207</v>
      </c>
      <c r="M412" s="335">
        <f t="shared" si="81"/>
        <v>0</v>
      </c>
      <c r="N412" s="335">
        <f t="shared" si="81"/>
        <v>2.2799999999999998</v>
      </c>
      <c r="O412" s="335">
        <f t="shared" si="81"/>
        <v>373.65677350844692</v>
      </c>
      <c r="P412" s="335">
        <f t="shared" si="81"/>
        <v>0</v>
      </c>
      <c r="Q412" s="335">
        <f t="shared" si="81"/>
        <v>67.392000000000024</v>
      </c>
      <c r="R412" s="335">
        <f t="shared" si="81"/>
        <v>0</v>
      </c>
      <c r="S412" s="335">
        <f t="shared" si="81"/>
        <v>0</v>
      </c>
      <c r="T412" s="335">
        <f t="shared" si="81"/>
        <v>0</v>
      </c>
      <c r="U412" s="279">
        <f t="shared" si="81"/>
        <v>2894.4231801769943</v>
      </c>
      <c r="V412" s="321"/>
      <c r="X412" s="265">
        <f>W412*1.0202</f>
        <v>0</v>
      </c>
      <c r="Y412" s="265">
        <f>W412*1.0468</f>
        <v>0</v>
      </c>
      <c r="Z412" s="265">
        <f>W412*1.067</f>
        <v>0</v>
      </c>
      <c r="AA412" s="319" t="s">
        <v>795</v>
      </c>
    </row>
    <row r="413" spans="1:27" ht="14.85" customHeight="1">
      <c r="A413" s="318"/>
      <c r="B413" s="319" t="s">
        <v>433</v>
      </c>
      <c r="C413" s="335">
        <f>SUM(C393:C395,C114:C118)+C268+C273+C274</f>
        <v>8</v>
      </c>
      <c r="D413" s="335">
        <f t="shared" ref="D413:U413" si="82">SUM(D393:D395,D114:D118)+D268+D273+D274</f>
        <v>0</v>
      </c>
      <c r="E413" s="335">
        <f t="shared" si="82"/>
        <v>316.1376123223439</v>
      </c>
      <c r="F413" s="335">
        <f t="shared" si="82"/>
        <v>62.145853907693493</v>
      </c>
      <c r="G413" s="335">
        <f t="shared" si="82"/>
        <v>0</v>
      </c>
      <c r="H413" s="335">
        <f t="shared" si="82"/>
        <v>0</v>
      </c>
      <c r="I413" s="335">
        <f t="shared" si="82"/>
        <v>17.813533957861381</v>
      </c>
      <c r="J413" s="335">
        <f t="shared" si="82"/>
        <v>0</v>
      </c>
      <c r="K413" s="335">
        <f t="shared" si="82"/>
        <v>0</v>
      </c>
      <c r="L413" s="335">
        <f t="shared" si="82"/>
        <v>44.332319949832112</v>
      </c>
      <c r="M413" s="335">
        <f t="shared" si="82"/>
        <v>0</v>
      </c>
      <c r="N413" s="335" t="e">
        <f t="shared" si="82"/>
        <v>#DIV/0!</v>
      </c>
      <c r="O413" s="335">
        <f t="shared" si="82"/>
        <v>57.58582010255752</v>
      </c>
      <c r="P413" s="335">
        <f t="shared" si="82"/>
        <v>0</v>
      </c>
      <c r="Q413" s="335">
        <f t="shared" si="82"/>
        <v>10.367999999999999</v>
      </c>
      <c r="R413" s="335">
        <f t="shared" si="82"/>
        <v>0</v>
      </c>
      <c r="S413" s="335">
        <f t="shared" si="82"/>
        <v>0</v>
      </c>
      <c r="T413" s="335">
        <f t="shared" si="82"/>
        <v>0</v>
      </c>
      <c r="U413" s="335">
        <f t="shared" si="82"/>
        <v>446.23728633259486</v>
      </c>
      <c r="V413" s="321"/>
      <c r="X413" s="265">
        <f>W413*1.0202</f>
        <v>0</v>
      </c>
      <c r="Y413" s="265">
        <f>W413*1.0468</f>
        <v>0</v>
      </c>
      <c r="Z413" s="265">
        <f>W413*1.067</f>
        <v>0</v>
      </c>
      <c r="AA413" s="319" t="s">
        <v>433</v>
      </c>
    </row>
    <row r="414" spans="1:27" ht="14.85" customHeight="1">
      <c r="C414" s="321">
        <f>SUM(C409:C413)</f>
        <v>847</v>
      </c>
      <c r="D414" s="323">
        <f t="shared" ref="D414:U414" si="83">SUM(D409:D413)</f>
        <v>0</v>
      </c>
      <c r="E414" s="321">
        <f t="shared" si="83"/>
        <v>35718.473760459179</v>
      </c>
      <c r="F414" s="321">
        <f t="shared" si="83"/>
        <v>9203.0481405311839</v>
      </c>
      <c r="G414" s="321">
        <f t="shared" si="83"/>
        <v>1497.0463354549079</v>
      </c>
      <c r="H414" s="321">
        <f t="shared" si="83"/>
        <v>0</v>
      </c>
      <c r="I414" s="321">
        <f t="shared" si="83"/>
        <v>1908.6264907371008</v>
      </c>
      <c r="J414" s="321">
        <f t="shared" si="83"/>
        <v>467.51208485415663</v>
      </c>
      <c r="K414" s="321">
        <f t="shared" si="83"/>
        <v>466.10345721480724</v>
      </c>
      <c r="L414" s="321"/>
      <c r="M414" s="321">
        <f t="shared" si="83"/>
        <v>94.824773641757531</v>
      </c>
      <c r="N414" s="289">
        <f t="shared" si="73"/>
        <v>0.2003323024718629</v>
      </c>
      <c r="O414" s="321">
        <f t="shared" si="83"/>
        <v>7155.5640892136062</v>
      </c>
      <c r="P414" s="321">
        <f t="shared" si="83"/>
        <v>0</v>
      </c>
      <c r="Q414" s="321">
        <f t="shared" si="83"/>
        <v>1097.7120000000002</v>
      </c>
      <c r="R414" s="290">
        <f t="shared" si="83"/>
        <v>0</v>
      </c>
      <c r="S414" s="290">
        <f t="shared" si="83"/>
        <v>0</v>
      </c>
      <c r="T414" s="290">
        <f t="shared" si="83"/>
        <v>0</v>
      </c>
      <c r="U414" s="279">
        <f t="shared" si="83"/>
        <v>53174.797990203944</v>
      </c>
    </row>
    <row r="415" spans="1:27" ht="14.85" customHeight="1">
      <c r="C415" s="324"/>
      <c r="D415" s="325"/>
      <c r="E415" s="324"/>
      <c r="F415" s="321"/>
      <c r="G415" s="321"/>
      <c r="H415" s="321"/>
      <c r="I415" s="321"/>
      <c r="J415" s="321"/>
      <c r="K415" s="321"/>
      <c r="L415" s="321"/>
      <c r="M415" s="321"/>
      <c r="N415" s="321"/>
      <c r="O415" s="321"/>
      <c r="P415" s="321"/>
      <c r="Q415" s="321"/>
      <c r="R415" s="321"/>
      <c r="S415" s="321"/>
      <c r="T415" s="321"/>
      <c r="U415" s="333">
        <v>23</v>
      </c>
      <c r="V415" s="334" t="s">
        <v>434</v>
      </c>
      <c r="W415" s="334" t="s">
        <v>435</v>
      </c>
      <c r="X415" s="334" t="s">
        <v>436</v>
      </c>
      <c r="Y415" s="334" t="s">
        <v>437</v>
      </c>
      <c r="Z415" s="265" t="s">
        <v>438</v>
      </c>
    </row>
    <row r="416" spans="1:27" ht="14.85" customHeight="1">
      <c r="C416" s="326">
        <v>3</v>
      </c>
      <c r="D416" s="325"/>
      <c r="E416" s="324">
        <f>$E$12/$C$420*C416</f>
        <v>8929.6184401147948</v>
      </c>
      <c r="F416" s="321">
        <f>$F$12/$C$420*C416</f>
        <v>2300.7620351327982</v>
      </c>
      <c r="G416" s="321"/>
      <c r="H416" s="321"/>
      <c r="I416" s="321"/>
      <c r="J416" s="321"/>
      <c r="K416" s="321"/>
      <c r="L416" s="321"/>
      <c r="M416" s="321"/>
      <c r="N416" s="321"/>
      <c r="O416" s="321">
        <f>$O$12/$C$420*C416</f>
        <v>1788.8910223034006</v>
      </c>
      <c r="P416" s="321"/>
      <c r="Q416" s="321"/>
      <c r="R416" s="321">
        <f>$R$12/$C$420*C416</f>
        <v>0</v>
      </c>
      <c r="S416" s="321">
        <f>T416+V416+X416+Y416</f>
        <v>11716.9</v>
      </c>
      <c r="T416" s="321">
        <f>U416+W416</f>
        <v>9852.2999999999993</v>
      </c>
      <c r="U416" s="431">
        <f>ROUND(U450,1)</f>
        <v>9852.2999999999993</v>
      </c>
      <c r="V416" s="431">
        <f>ROUND(V450,1)</f>
        <v>1075.0999999999999</v>
      </c>
      <c r="W416" s="431">
        <f>ROUND(W450,1)</f>
        <v>0</v>
      </c>
      <c r="X416" s="431">
        <f>ROUND(X450,1)</f>
        <v>709</v>
      </c>
      <c r="Y416" s="431">
        <f>ROUND(Y450,1)</f>
        <v>80.5</v>
      </c>
      <c r="Z416" s="321">
        <f>Y416+X416+W416+V416+U416</f>
        <v>11716.9</v>
      </c>
    </row>
    <row r="417" spans="3:26" ht="14.85" customHeight="1">
      <c r="C417" s="326">
        <v>3</v>
      </c>
      <c r="D417" s="325"/>
      <c r="E417" s="324">
        <f>$E$12/$C$420*C417</f>
        <v>8929.6184401147948</v>
      </c>
      <c r="F417" s="321">
        <f>$F$12/$C$420*C417</f>
        <v>2300.7620351327982</v>
      </c>
      <c r="G417" s="321"/>
      <c r="H417" s="321"/>
      <c r="I417" s="321"/>
      <c r="J417" s="321"/>
      <c r="K417" s="321"/>
      <c r="L417" s="321"/>
      <c r="M417" s="321"/>
      <c r="N417" s="321"/>
      <c r="O417" s="321">
        <f>$O$12/$C$420*C417</f>
        <v>1788.8910223034006</v>
      </c>
      <c r="P417" s="321"/>
      <c r="Q417" s="321"/>
      <c r="R417" s="321">
        <f>$R$12/$C$420*C417</f>
        <v>0</v>
      </c>
      <c r="S417" s="321">
        <f>T417+V417+X417+Y417</f>
        <v>11716.9</v>
      </c>
      <c r="T417" s="321">
        <f>U417+W417</f>
        <v>9852.2999999999993</v>
      </c>
      <c r="U417" s="431">
        <f t="shared" ref="U417:Y420" si="84">ROUND(U451,1)</f>
        <v>9852.2999999999993</v>
      </c>
      <c r="V417" s="431">
        <f t="shared" si="84"/>
        <v>1075.0999999999999</v>
      </c>
      <c r="W417" s="431">
        <f t="shared" si="84"/>
        <v>0</v>
      </c>
      <c r="X417" s="431">
        <f t="shared" si="84"/>
        <v>709</v>
      </c>
      <c r="Y417" s="431">
        <f t="shared" si="84"/>
        <v>80.5</v>
      </c>
      <c r="Z417" s="265">
        <f>Y417+X417+W417+V417+U417</f>
        <v>11716.9</v>
      </c>
    </row>
    <row r="418" spans="3:26" ht="14.85" customHeight="1">
      <c r="C418" s="326">
        <v>3</v>
      </c>
      <c r="D418" s="325"/>
      <c r="E418" s="324">
        <f>$E$12/$C$420*C418</f>
        <v>8929.6184401147948</v>
      </c>
      <c r="F418" s="321">
        <f>$F$12/$C$420*C418</f>
        <v>2300.7620351327982</v>
      </c>
      <c r="G418" s="321"/>
      <c r="H418" s="321"/>
      <c r="I418" s="321"/>
      <c r="J418" s="321"/>
      <c r="K418" s="321"/>
      <c r="L418" s="321"/>
      <c r="M418" s="321"/>
      <c r="N418" s="321"/>
      <c r="O418" s="321">
        <f>$O$12/$C$420*C418</f>
        <v>1788.8910223034006</v>
      </c>
      <c r="P418" s="321"/>
      <c r="Q418" s="321"/>
      <c r="R418" s="321">
        <f>$R$12/$C$420*C418</f>
        <v>0</v>
      </c>
      <c r="S418" s="321">
        <f>T418+V418+X418+Y418</f>
        <v>14870.500000000002</v>
      </c>
      <c r="T418" s="321">
        <f>U418+W418</f>
        <v>12667.5</v>
      </c>
      <c r="U418" s="431">
        <f t="shared" si="84"/>
        <v>12667.5</v>
      </c>
      <c r="V418" s="431">
        <f t="shared" si="84"/>
        <v>1322.2</v>
      </c>
      <c r="W418" s="431">
        <f t="shared" si="84"/>
        <v>0</v>
      </c>
      <c r="X418" s="431">
        <f t="shared" si="84"/>
        <v>738.2</v>
      </c>
      <c r="Y418" s="431">
        <f t="shared" si="84"/>
        <v>142.6</v>
      </c>
      <c r="Z418" s="265">
        <f>Y418+X418+W418+V418+U418</f>
        <v>14870.5</v>
      </c>
    </row>
    <row r="419" spans="3:26" ht="14.85" customHeight="1">
      <c r="C419" s="326">
        <v>3</v>
      </c>
      <c r="D419" s="325"/>
      <c r="E419" s="324">
        <f>$E$12/$C$420*C419</f>
        <v>8929.6184401147948</v>
      </c>
      <c r="F419" s="321">
        <f>$F$12/$C$420*C419</f>
        <v>2300.7620351327982</v>
      </c>
      <c r="G419" s="321"/>
      <c r="H419" s="321"/>
      <c r="I419" s="321"/>
      <c r="J419" s="321"/>
      <c r="K419" s="321"/>
      <c r="L419" s="321"/>
      <c r="M419" s="321"/>
      <c r="N419" s="321"/>
      <c r="O419" s="321">
        <f>$O$12/$C$420*C419</f>
        <v>1788.8910223034006</v>
      </c>
      <c r="P419" s="321"/>
      <c r="Q419" s="321"/>
      <c r="R419" s="321">
        <f>$R$12/$C$420*C419</f>
        <v>0</v>
      </c>
      <c r="S419" s="321">
        <f>T419+V419+X419+Y419</f>
        <v>14870.500000000002</v>
      </c>
      <c r="T419" s="321">
        <f>U419+W419</f>
        <v>12667.5</v>
      </c>
      <c r="U419" s="431">
        <f t="shared" si="84"/>
        <v>12667.5</v>
      </c>
      <c r="V419" s="431">
        <f t="shared" si="84"/>
        <v>1322.2</v>
      </c>
      <c r="W419" s="431">
        <f t="shared" si="84"/>
        <v>0</v>
      </c>
      <c r="X419" s="431">
        <f t="shared" si="84"/>
        <v>738.2</v>
      </c>
      <c r="Y419" s="431">
        <f t="shared" si="84"/>
        <v>142.6</v>
      </c>
      <c r="Z419" s="265">
        <f>Y419+X419+W419+V419+U419</f>
        <v>14870.5</v>
      </c>
    </row>
    <row r="420" spans="3:26" ht="14.85" customHeight="1">
      <c r="C420" s="326">
        <f>SUM(C416:C419)</f>
        <v>12</v>
      </c>
      <c r="D420" s="325"/>
      <c r="E420" s="321">
        <f>SUM(E416:E419)</f>
        <v>35718.473760459179</v>
      </c>
      <c r="F420" s="321">
        <f>SUM(F416:F419)</f>
        <v>9203.048140531193</v>
      </c>
      <c r="G420" s="321"/>
      <c r="H420" s="321"/>
      <c r="I420" s="321"/>
      <c r="J420" s="321"/>
      <c r="K420" s="321"/>
      <c r="L420" s="321"/>
      <c r="M420" s="321"/>
      <c r="N420" s="321"/>
      <c r="O420" s="321">
        <f>SUM(O416:O419)</f>
        <v>7155.5640892136025</v>
      </c>
      <c r="P420" s="321"/>
      <c r="Q420" s="321"/>
      <c r="R420" s="321">
        <f>SUM(R416:R419)</f>
        <v>0</v>
      </c>
      <c r="S420" s="321"/>
      <c r="T420" s="321">
        <f>U420+W420</f>
        <v>45039.6</v>
      </c>
      <c r="U420" s="431">
        <f t="shared" si="84"/>
        <v>45039.6</v>
      </c>
      <c r="V420" s="431">
        <f t="shared" si="84"/>
        <v>4794.5</v>
      </c>
      <c r="W420" s="431">
        <f t="shared" si="84"/>
        <v>0</v>
      </c>
      <c r="X420" s="431">
        <f t="shared" si="84"/>
        <v>2894.4</v>
      </c>
      <c r="Y420" s="431">
        <f t="shared" si="84"/>
        <v>446.2</v>
      </c>
      <c r="Z420" s="265">
        <f>Y420+X420+W420+V420+U420</f>
        <v>53174.7</v>
      </c>
    </row>
    <row r="425" spans="3:26" ht="6.75" customHeight="1">
      <c r="U425" s="817" t="s">
        <v>352</v>
      </c>
      <c r="V425" s="818"/>
      <c r="W425" s="818"/>
      <c r="X425" s="818"/>
      <c r="Y425" s="818"/>
    </row>
    <row r="426" spans="3:26" ht="6.75" customHeight="1">
      <c r="U426" s="818"/>
      <c r="V426" s="818"/>
      <c r="W426" s="818"/>
      <c r="X426" s="818"/>
      <c r="Y426" s="818"/>
    </row>
    <row r="427" spans="3:26" ht="6.75" customHeight="1">
      <c r="U427" s="818"/>
      <c r="V427" s="818"/>
      <c r="W427" s="818"/>
      <c r="X427" s="818"/>
      <c r="Y427" s="818"/>
    </row>
    <row r="428" spans="3:26" ht="6.75" customHeight="1">
      <c r="U428" s="818"/>
      <c r="V428" s="818"/>
      <c r="W428" s="818"/>
      <c r="X428" s="818"/>
      <c r="Y428" s="818"/>
    </row>
    <row r="429" spans="3:26" ht="6.75" customHeight="1">
      <c r="U429" s="818"/>
      <c r="V429" s="818"/>
      <c r="W429" s="818"/>
      <c r="X429" s="818"/>
      <c r="Y429" s="818"/>
    </row>
    <row r="430" spans="3:26" ht="26.25" customHeight="1">
      <c r="C430" s="265">
        <f t="shared" ref="C430:U430" si="85">SUM(C395:C395,C388,C380,C308:C313,C302:C304,C295:C297,C276:C277,C266:C268,C261:C263,C255:C258,C249:C251,C236:C237,C220:C222,C214,C210,C201:C203,C184:C186,C152:C156,C135:C139,C129:C130,C122:C124,C65:C71,C13:C56)</f>
        <v>140</v>
      </c>
      <c r="D430" s="264">
        <f t="shared" si="85"/>
        <v>0</v>
      </c>
      <c r="E430" s="265">
        <f t="shared" si="85"/>
        <v>8935.2028053647227</v>
      </c>
      <c r="F430" s="265">
        <f t="shared" si="85"/>
        <v>1602.6776625172704</v>
      </c>
      <c r="G430" s="265">
        <f t="shared" si="85"/>
        <v>140.35909023891759</v>
      </c>
      <c r="H430" s="265">
        <f t="shared" si="85"/>
        <v>0</v>
      </c>
      <c r="I430" s="265">
        <f t="shared" si="85"/>
        <v>202.63137110844295</v>
      </c>
      <c r="J430" s="265">
        <f t="shared" si="85"/>
        <v>0</v>
      </c>
      <c r="K430" s="265">
        <f t="shared" si="85"/>
        <v>0</v>
      </c>
      <c r="L430" s="265">
        <f t="shared" si="85"/>
        <v>1192.4434289341275</v>
      </c>
      <c r="M430" s="265">
        <f t="shared" si="85"/>
        <v>67.243772235781748</v>
      </c>
      <c r="N430" s="265" t="e">
        <f t="shared" si="85"/>
        <v>#DIV/0!</v>
      </c>
      <c r="O430" s="265">
        <f t="shared" si="85"/>
        <v>2040.4164464057335</v>
      </c>
      <c r="P430" s="265">
        <f t="shared" si="85"/>
        <v>0</v>
      </c>
      <c r="Q430" s="265">
        <f t="shared" si="85"/>
        <v>181.43999999999997</v>
      </c>
      <c r="R430" s="265">
        <f t="shared" si="85"/>
        <v>0</v>
      </c>
      <c r="S430" s="265">
        <f t="shared" si="85"/>
        <v>0</v>
      </c>
      <c r="T430" s="265">
        <f t="shared" si="85"/>
        <v>0</v>
      </c>
      <c r="U430" s="265">
        <f t="shared" si="85"/>
        <v>12759.736914287725</v>
      </c>
    </row>
    <row r="431" spans="3:26" ht="20.25" customHeight="1">
      <c r="C431" s="265">
        <f t="shared" ref="C431:U431" si="86">C12-C430</f>
        <v>707</v>
      </c>
      <c r="D431" s="264">
        <f t="shared" si="86"/>
        <v>0</v>
      </c>
      <c r="E431" s="265">
        <f t="shared" si="86"/>
        <v>26783.270955094456</v>
      </c>
      <c r="F431" s="265">
        <f t="shared" si="86"/>
        <v>7600.3704780139224</v>
      </c>
      <c r="G431" s="265">
        <f t="shared" si="86"/>
        <v>1356.6872452159903</v>
      </c>
      <c r="H431" s="265">
        <f t="shared" si="86"/>
        <v>0</v>
      </c>
      <c r="I431" s="265">
        <f t="shared" si="86"/>
        <v>1705.9951196286577</v>
      </c>
      <c r="J431" s="265">
        <f t="shared" si="86"/>
        <v>467.51208485415663</v>
      </c>
      <c r="K431" s="265">
        <f t="shared" si="86"/>
        <v>466.10345721480718</v>
      </c>
      <c r="L431" s="265">
        <f t="shared" si="86"/>
        <v>3576.4915696943258</v>
      </c>
      <c r="M431" s="265">
        <f t="shared" si="86"/>
        <v>27.581001405975769</v>
      </c>
      <c r="N431" s="265" t="e">
        <f t="shared" si="86"/>
        <v>#DIV/0!</v>
      </c>
      <c r="O431" s="265">
        <f t="shared" si="86"/>
        <v>5115.1476428078695</v>
      </c>
      <c r="P431" s="265">
        <f t="shared" si="86"/>
        <v>0</v>
      </c>
      <c r="Q431" s="265">
        <f t="shared" si="86"/>
        <v>916.27200000000573</v>
      </c>
      <c r="R431" s="265">
        <f t="shared" si="86"/>
        <v>0</v>
      </c>
      <c r="S431" s="265">
        <f t="shared" si="86"/>
        <v>0</v>
      </c>
      <c r="T431" s="265">
        <f t="shared" si="86"/>
        <v>0</v>
      </c>
      <c r="U431" s="265">
        <f t="shared" si="86"/>
        <v>40415.061075916208</v>
      </c>
    </row>
    <row r="433" spans="2:23" ht="15.75">
      <c r="B433" s="327" t="s">
        <v>439</v>
      </c>
      <c r="C433" s="290">
        <f>C13+C18+C23+C27+C32+C40+C43+C46+C49+C52+C55+C65+C70+C119+C136+C139+C152+C184+C201+C220+C236+C245+C249+C255+C258+C261+C266+C268+C276+C296+C302+C308+C380+C388+C14+C15+C16+C19+C56+C57+C71+C221+C222+C237+C250</f>
        <v>52</v>
      </c>
      <c r="D433" s="290">
        <f>D13+D18+D23+D27+D32+D40+D43+D46+D49+D52+D55+D65+D70+D119+D136+D139+D152+D184+D201+D220+D236+D245+D249+D255+D258+D261+D266+D268+D276+D296+D302+D308+D380+D388+D14+D15+D16+D19+D56+D57+D71+D221+D222+D237+D250</f>
        <v>0</v>
      </c>
      <c r="V433" s="290" t="e">
        <f>V13+V18+V23+V27+V32+V40+V43+V46+V49+V52+V55+V65+V70+V119+V136+V139+V152+V184+V201+V220+V236+V245+V249+V255+V258+V261+V266+V268+V276+V296+V302+V308+V380+V388+V14+V15+V16+V19+V56+V57+V71+V221+V222+V237+V250</f>
        <v>#VALUE!</v>
      </c>
      <c r="W433" s="327" t="s">
        <v>439</v>
      </c>
    </row>
    <row r="434" spans="2:23" ht="15.75">
      <c r="B434" s="328" t="s">
        <v>440</v>
      </c>
      <c r="C434" s="290">
        <f>C54+C17+C20+C24+C28+C33+C41+C44+C50+C53+C66+C120+C122+C129+C135+C137+C154+C186+C202+C210+C214+C246+C256+C262+C267+C297+C303+C312+C25+C26+C29+C30+C31+C34+C35+C36+C37+C38+C39+C42+C45+C51+C67+C68+C69+C123+C124+C130+C155+C156+C203+C257+C263</f>
        <v>74</v>
      </c>
      <c r="D434" s="290">
        <f>D17+D20+D24+D28+D33+D41+D44+D50+D53+D66+D120+D122+D129+D135+D137+D154+D186+D202+D210+D214+D246+D256+D262+D267+D297+D303+D312+D25+D26+D29+D30+D31+D34+D35+D36+D37+D38+D39+D42+D45+D51+D67+D68+D69+D123+D124+D130+D155+D156+D203+D257+D263</f>
        <v>0</v>
      </c>
      <c r="V434" s="290" t="e">
        <f>V17+V20+V24+V28+V33+V41+V44+V50+V53+V66+V120+V122+V129+V135+V137+V154+V186+V202+V210+V214+V246+V256+V262+V267+V297+V303+V312+V25+V26+V29+V30+V31+V34+V35+V36+V37+V38+V39+V42+V45+V51+V67+V68+V69+V123+V124+V130+V155+V156+V203+V257+V263</f>
        <v>#VALUE!</v>
      </c>
      <c r="W434" s="328" t="s">
        <v>440</v>
      </c>
    </row>
    <row r="435" spans="2:23" ht="15.75">
      <c r="B435" s="329" t="s">
        <v>441</v>
      </c>
      <c r="C435" s="290">
        <f>C21+C47+C48+C138+C153+C185+C251+C277+C295+C309+C310+C311+C313</f>
        <v>18</v>
      </c>
      <c r="D435" s="290">
        <f>D21+D47+D48+D138+D153+D185+D251+D277+D295+D309+D310+D311+D313</f>
        <v>0</v>
      </c>
      <c r="V435" s="290" t="e">
        <f>V21+V47:V48+V138+V153+V185+V251+V277+V295+V309:V311+V313</f>
        <v>#VALUE!</v>
      </c>
      <c r="W435" s="329" t="s">
        <v>441</v>
      </c>
    </row>
    <row r="436" spans="2:23" ht="12.75">
      <c r="B436" s="330" t="s">
        <v>442</v>
      </c>
      <c r="C436" s="290">
        <f>C22+C304</f>
        <v>2</v>
      </c>
      <c r="D436" s="290">
        <f>D22+D304</f>
        <v>0</v>
      </c>
      <c r="V436" s="290" t="e">
        <f>V22+V304</f>
        <v>#VALUE!</v>
      </c>
      <c r="W436" s="330" t="s">
        <v>442</v>
      </c>
    </row>
    <row r="437" spans="2:23" ht="17.25" customHeight="1">
      <c r="B437" s="332" t="s">
        <v>443</v>
      </c>
      <c r="C437" s="290">
        <f>C433+C434+C435+C436</f>
        <v>146</v>
      </c>
      <c r="D437" s="290">
        <f>D433+D434+D435+D436</f>
        <v>0</v>
      </c>
      <c r="V437" s="290" t="e">
        <f>V433+V434+V435+V436</f>
        <v>#VALUE!</v>
      </c>
      <c r="W437" s="332" t="s">
        <v>443</v>
      </c>
    </row>
    <row r="449" spans="21:26" ht="20.25">
      <c r="U449" s="518">
        <v>23</v>
      </c>
      <c r="V449" s="519" t="s">
        <v>434</v>
      </c>
      <c r="W449" s="519" t="s">
        <v>435</v>
      </c>
      <c r="X449" s="519" t="s">
        <v>436</v>
      </c>
      <c r="Y449" s="519" t="s">
        <v>437</v>
      </c>
      <c r="Z449" s="520" t="s">
        <v>438</v>
      </c>
    </row>
    <row r="450" spans="21:26" ht="20.25">
      <c r="U450" s="521">
        <v>9852.2999999999993</v>
      </c>
      <c r="V450" s="521">
        <v>1075.0999999999999</v>
      </c>
      <c r="W450" s="521"/>
      <c r="X450" s="521">
        <v>709</v>
      </c>
      <c r="Y450" s="521">
        <v>80.5</v>
      </c>
      <c r="Z450" s="521">
        <f>U450+V450+Y450+X450</f>
        <v>11716.9</v>
      </c>
    </row>
    <row r="451" spans="21:26" ht="20.25">
      <c r="U451" s="521">
        <v>9852.2999999999993</v>
      </c>
      <c r="V451" s="521">
        <v>1075.0999999999999</v>
      </c>
      <c r="W451" s="522"/>
      <c r="X451" s="521">
        <v>709</v>
      </c>
      <c r="Y451" s="521">
        <v>80.5</v>
      </c>
      <c r="Z451" s="521">
        <f>U451+V451+Y451+X451</f>
        <v>11716.9</v>
      </c>
    </row>
    <row r="452" spans="21:26" ht="20.25">
      <c r="U452" s="522">
        <f>(U454-U451-U450)/2</f>
        <v>12667.497027045249</v>
      </c>
      <c r="V452" s="522">
        <f>(V454-V451-V450)/2</f>
        <v>1322.1717348018997</v>
      </c>
      <c r="W452" s="522"/>
      <c r="X452" s="522">
        <f>(X454-X451-X450)/2</f>
        <v>738.21159008849713</v>
      </c>
      <c r="Y452" s="522">
        <f>(Y454-Y451-Y450)/2</f>
        <v>142.61864316629743</v>
      </c>
      <c r="Z452" s="521">
        <f>U452+V452+Y452+X452</f>
        <v>14870.498995101942</v>
      </c>
    </row>
    <row r="453" spans="21:26" ht="20.25">
      <c r="U453" s="522">
        <f>U452</f>
        <v>12667.497027045249</v>
      </c>
      <c r="V453" s="522">
        <f>V452</f>
        <v>1322.1717348018997</v>
      </c>
      <c r="W453" s="522"/>
      <c r="X453" s="522">
        <f>X452</f>
        <v>738.21159008849713</v>
      </c>
      <c r="Y453" s="522">
        <f>Y452</f>
        <v>142.61864316629743</v>
      </c>
      <c r="Z453" s="521">
        <f>U453+V453+Y453+X453</f>
        <v>14870.498995101942</v>
      </c>
    </row>
    <row r="454" spans="21:26" ht="20.25">
      <c r="U454" s="522">
        <f>27609.5566174386+17430.0374366519</f>
        <v>45039.594054090499</v>
      </c>
      <c r="V454" s="522">
        <v>4794.5434696037992</v>
      </c>
      <c r="W454" s="522"/>
      <c r="X454" s="522">
        <v>2894.4231801769943</v>
      </c>
      <c r="Y454" s="522">
        <v>446.23728633259486</v>
      </c>
      <c r="Z454" s="521">
        <v>53174.797990203951</v>
      </c>
    </row>
  </sheetData>
  <sheetProtection selectLockedCells="1" selectUnlockedCells="1"/>
  <mergeCells count="29">
    <mergeCell ref="P1:T1"/>
    <mergeCell ref="A4:U4"/>
    <mergeCell ref="A8:A11"/>
    <mergeCell ref="B8:B11"/>
    <mergeCell ref="C8:D9"/>
    <mergeCell ref="E8:E11"/>
    <mergeCell ref="F8:Q8"/>
    <mergeCell ref="R8:T9"/>
    <mergeCell ref="U8:U11"/>
    <mergeCell ref="F9:M9"/>
    <mergeCell ref="R10:R11"/>
    <mergeCell ref="S10:T10"/>
    <mergeCell ref="Q9:Q11"/>
    <mergeCell ref="C10:C11"/>
    <mergeCell ref="F10:F11"/>
    <mergeCell ref="G10:M10"/>
    <mergeCell ref="N9:O9"/>
    <mergeCell ref="P9:P11"/>
    <mergeCell ref="N10:N11"/>
    <mergeCell ref="O10:O11"/>
    <mergeCell ref="H398:J398"/>
    <mergeCell ref="U425:Y429"/>
    <mergeCell ref="C398:E398"/>
    <mergeCell ref="C404:E404"/>
    <mergeCell ref="H404:J404"/>
    <mergeCell ref="C400:E400"/>
    <mergeCell ref="C402:E402"/>
    <mergeCell ref="H400:J400"/>
    <mergeCell ref="H402:J402"/>
  </mergeCells>
  <phoneticPr fontId="3" type="noConversion"/>
  <pageMargins left="0.74" right="0" top="0.46" bottom="0.23622047244094491" header="0.51181102362204722" footer="0.33"/>
  <pageSetup paperSize="9" scale="61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13</vt:i4>
      </vt:variant>
    </vt:vector>
  </HeadingPairs>
  <TitlesOfParts>
    <vt:vector size="24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дод 1 до поясн Розрахунок ФОП</vt:lpstr>
      <vt:lpstr>дод2до поясн претенз позов</vt:lpstr>
      <vt:lpstr>дод3 до поясн Відомості про ман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'дод 1 до поясн Розрахунок ФОП'!Область_печати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Ольга</cp:lastModifiedBy>
  <cp:lastPrinted>2017-09-05T05:33:59Z</cp:lastPrinted>
  <dcterms:created xsi:type="dcterms:W3CDTF">2003-03-13T16:00:22Z</dcterms:created>
  <dcterms:modified xsi:type="dcterms:W3CDTF">2017-09-05T08:57:44Z</dcterms:modified>
</cp:coreProperties>
</file>